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03_Data\06_data_analysis\catch_limits\03_computations\YFT\outputs\tables\"/>
    </mc:Choice>
  </mc:AlternateContent>
  <xr:revisionPtr revIDLastSave="0" documentId="13_ncr:1_{F01450E3-E065-47AE-92D0-367BF8481644}" xr6:coauthVersionLast="47" xr6:coauthVersionMax="47" xr10:uidLastSave="{00000000-0000-0000-0000-000000000000}"/>
  <bookViews>
    <workbookView xWindow="28680" yWindow="-120" windowWidth="29040" windowHeight="15720" tabRatio="824" xr2:uid="{00000000-000D-0000-FFFF-FFFF00000000}"/>
  </bookViews>
  <sheets>
    <sheet name="Nominal retained catches" sheetId="15" r:id="rId1"/>
    <sheet name="19-01 base annual limits" sheetId="8" r:id="rId2"/>
    <sheet name="19-01 catch, overcatch, limits" sheetId="10" r:id="rId3"/>
    <sheet name="19-01 annual limits" sheetId="14" r:id="rId4"/>
    <sheet name="19-01 circular table" sheetId="17" r:id="rId5"/>
    <sheet name="21-01 base annual limits" sheetId="11" r:id="rId6"/>
    <sheet name="21-01 catch, overcatch, limits" sheetId="13" r:id="rId7"/>
    <sheet name="21-01 annual limits" sheetId="18" r:id="rId8"/>
    <sheet name="21-01 circular table" sheetId="1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7" l="1"/>
  <c r="D3" i="17"/>
  <c r="C3" i="17"/>
  <c r="U30" i="14"/>
  <c r="J18" i="10" l="1"/>
  <c r="K33" i="18"/>
  <c r="K34" i="18"/>
  <c r="F35" i="18"/>
  <c r="F34" i="18"/>
  <c r="N34" i="18"/>
  <c r="M34" i="18"/>
  <c r="L34" i="18"/>
  <c r="J34" i="18"/>
  <c r="O19" i="8"/>
  <c r="O17" i="8"/>
  <c r="O18" i="8"/>
  <c r="E35" i="13"/>
  <c r="F10" i="18"/>
  <c r="U34" i="13" l="1"/>
  <c r="T34" i="13"/>
  <c r="S34" i="13"/>
  <c r="R34" i="13"/>
  <c r="Q34" i="13"/>
  <c r="P34" i="13"/>
  <c r="O34" i="13"/>
  <c r="E29" i="16"/>
  <c r="F29" i="16"/>
  <c r="D29" i="16"/>
  <c r="C29" i="16"/>
  <c r="A29" i="16"/>
  <c r="P33" i="13"/>
  <c r="M33" i="13"/>
  <c r="L34" i="13"/>
  <c r="H34" i="13"/>
  <c r="I34" i="13"/>
  <c r="J34" i="13"/>
  <c r="J33" i="13"/>
  <c r="I33" i="13"/>
  <c r="H33" i="13"/>
  <c r="E34" i="13"/>
  <c r="U10" i="13"/>
  <c r="S10" i="13"/>
  <c r="R10" i="13"/>
  <c r="O10" i="13"/>
  <c r="O11" i="11"/>
  <c r="O34" i="11"/>
  <c r="O10" i="11"/>
  <c r="L34" i="11"/>
  <c r="E33" i="11"/>
  <c r="F33" i="11"/>
  <c r="G33" i="11"/>
  <c r="H33" i="11"/>
  <c r="I33" i="11"/>
  <c r="J33" i="11"/>
  <c r="E34" i="11"/>
  <c r="F34" i="11"/>
  <c r="G34" i="11"/>
  <c r="H34" i="11"/>
  <c r="I34" i="11"/>
  <c r="J34" i="11"/>
  <c r="D33" i="11"/>
  <c r="D34" i="11"/>
  <c r="C34" i="11"/>
  <c r="C33" i="11"/>
  <c r="H34" i="18"/>
  <c r="G34" i="18"/>
  <c r="I33" i="18"/>
  <c r="I34" i="18"/>
  <c r="H33" i="18"/>
  <c r="G33" i="18"/>
  <c r="D33" i="13"/>
  <c r="D34" i="13"/>
  <c r="C33" i="13"/>
  <c r="C34" i="13"/>
  <c r="G10" i="18"/>
  <c r="M18" i="8" l="1"/>
  <c r="N18" i="8"/>
  <c r="M19" i="8"/>
  <c r="M24" i="8"/>
  <c r="N24" i="8" s="1"/>
  <c r="O24" i="8"/>
  <c r="P24" i="8" s="1"/>
  <c r="E35" i="15"/>
  <c r="E37" i="15" s="1"/>
  <c r="F32" i="14" l="1"/>
  <c r="N19" i="8"/>
  <c r="P19" i="8"/>
  <c r="F19" i="10" s="1"/>
  <c r="N32" i="14" s="1"/>
  <c r="E19" i="10"/>
  <c r="G19" i="10" s="1"/>
  <c r="E18" i="10"/>
  <c r="P18" i="8"/>
  <c r="F18" i="10" l="1"/>
  <c r="N30" i="14"/>
  <c r="G18" i="10"/>
  <c r="I19" i="10"/>
  <c r="O32" i="14" s="1"/>
  <c r="T32" i="14"/>
  <c r="J19" i="10"/>
  <c r="U32" i="14" s="1"/>
  <c r="I18" i="10" l="1"/>
  <c r="T30" i="14"/>
  <c r="U27" i="13"/>
  <c r="U17" i="13"/>
  <c r="U16" i="13"/>
  <c r="U22" i="13"/>
  <c r="S16" i="13"/>
  <c r="S17" i="13"/>
  <c r="I17" i="13"/>
  <c r="E11" i="16"/>
  <c r="E12" i="16"/>
  <c r="E17" i="16"/>
  <c r="E22" i="16"/>
  <c r="E26" i="16"/>
  <c r="L17" i="13"/>
  <c r="L22" i="13"/>
  <c r="L27" i="13"/>
  <c r="L31" i="13"/>
  <c r="M15" i="13"/>
  <c r="C13" i="13"/>
  <c r="S22" i="13"/>
  <c r="S27" i="13"/>
  <c r="S31" i="13"/>
  <c r="I27" i="13"/>
  <c r="I31" i="13"/>
  <c r="I22" i="13"/>
  <c r="I16" i="13"/>
  <c r="T9" i="13"/>
  <c r="T10" i="13"/>
  <c r="T11" i="13"/>
  <c r="T12" i="13"/>
  <c r="T13" i="13"/>
  <c r="T14" i="13"/>
  <c r="T15" i="13"/>
  <c r="T16" i="13"/>
  <c r="T17" i="13"/>
  <c r="F12" i="16" s="1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T35" i="13"/>
  <c r="T36" i="13"/>
  <c r="T37" i="13"/>
  <c r="T8" i="13"/>
  <c r="E8" i="13"/>
  <c r="P9" i="13"/>
  <c r="P10" i="13"/>
  <c r="P11" i="13"/>
  <c r="P12" i="13"/>
  <c r="P13" i="13"/>
  <c r="P14" i="13"/>
  <c r="P15" i="13"/>
  <c r="M27" i="13"/>
  <c r="M9" i="13"/>
  <c r="M10" i="13"/>
  <c r="M11" i="13"/>
  <c r="M12" i="13"/>
  <c r="M13" i="13"/>
  <c r="M14" i="13"/>
  <c r="M22" i="13"/>
  <c r="M31" i="13"/>
  <c r="M16" i="13"/>
  <c r="M17" i="13"/>
  <c r="J31" i="13"/>
  <c r="J27" i="13"/>
  <c r="J22" i="13"/>
  <c r="J17" i="13"/>
  <c r="J16" i="13"/>
  <c r="H36" i="13"/>
  <c r="H37" i="13"/>
  <c r="H35" i="13"/>
  <c r="P16" i="13"/>
  <c r="F11" i="16" s="1"/>
  <c r="P17" i="13"/>
  <c r="P18" i="13"/>
  <c r="P19" i="13"/>
  <c r="P20" i="13"/>
  <c r="P21" i="13"/>
  <c r="P22" i="13"/>
  <c r="Q22" i="13" s="1"/>
  <c r="F17" i="16" s="1"/>
  <c r="P23" i="13"/>
  <c r="P24" i="13"/>
  <c r="P25" i="13"/>
  <c r="P26" i="13"/>
  <c r="P27" i="13"/>
  <c r="Q27" i="13" s="1"/>
  <c r="F22" i="16" s="1"/>
  <c r="P28" i="13"/>
  <c r="P29" i="13"/>
  <c r="P30" i="13"/>
  <c r="P31" i="13"/>
  <c r="Q31" i="13" s="1"/>
  <c r="F26" i="16" s="1"/>
  <c r="P32" i="13"/>
  <c r="P35" i="13"/>
  <c r="P36" i="13"/>
  <c r="P37" i="13"/>
  <c r="P8" i="13"/>
  <c r="M8" i="13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5" i="18"/>
  <c r="I36" i="18"/>
  <c r="I37" i="18"/>
  <c r="H12" i="18"/>
  <c r="I12" i="18"/>
  <c r="H11" i="18"/>
  <c r="I11" i="18"/>
  <c r="H10" i="18"/>
  <c r="I10" i="18"/>
  <c r="H9" i="18"/>
  <c r="I9" i="18"/>
  <c r="I8" i="18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5" i="11"/>
  <c r="J36" i="11"/>
  <c r="J37" i="11"/>
  <c r="J9" i="11"/>
  <c r="J10" i="11"/>
  <c r="J11" i="11"/>
  <c r="J12" i="11"/>
  <c r="J13" i="11"/>
  <c r="J14" i="11"/>
  <c r="J15" i="11"/>
  <c r="J8" i="11"/>
  <c r="E8" i="11"/>
  <c r="W24" i="10"/>
  <c r="O9" i="8"/>
  <c r="M9" i="8"/>
  <c r="N9" i="8" s="1"/>
  <c r="H37" i="18"/>
  <c r="G37" i="18"/>
  <c r="F37" i="18"/>
  <c r="H36" i="18"/>
  <c r="G36" i="18"/>
  <c r="H35" i="18"/>
  <c r="G35" i="18"/>
  <c r="F33" i="18"/>
  <c r="H32" i="18"/>
  <c r="G32" i="18"/>
  <c r="H31" i="18"/>
  <c r="G31" i="18"/>
  <c r="H30" i="18"/>
  <c r="G30" i="18"/>
  <c r="F30" i="18"/>
  <c r="H29" i="18"/>
  <c r="G29" i="18"/>
  <c r="F29" i="18"/>
  <c r="H28" i="18"/>
  <c r="G28" i="18"/>
  <c r="H27" i="18"/>
  <c r="G27" i="18"/>
  <c r="H26" i="18"/>
  <c r="G26" i="18"/>
  <c r="F26" i="18"/>
  <c r="H25" i="18"/>
  <c r="G25" i="18"/>
  <c r="H24" i="18"/>
  <c r="G24" i="18"/>
  <c r="F24" i="18"/>
  <c r="H23" i="18"/>
  <c r="G23" i="18"/>
  <c r="H22" i="18"/>
  <c r="G22" i="18"/>
  <c r="H21" i="18"/>
  <c r="G21" i="18"/>
  <c r="H20" i="18"/>
  <c r="G20" i="18"/>
  <c r="H19" i="18"/>
  <c r="G19" i="18"/>
  <c r="H18" i="18"/>
  <c r="G18" i="18"/>
  <c r="H17" i="18"/>
  <c r="G17" i="18"/>
  <c r="H16" i="18"/>
  <c r="G16" i="18"/>
  <c r="H15" i="18"/>
  <c r="G15" i="18"/>
  <c r="H14" i="18"/>
  <c r="G14" i="18"/>
  <c r="F14" i="18"/>
  <c r="H13" i="18"/>
  <c r="G13" i="18"/>
  <c r="F13" i="18"/>
  <c r="G12" i="18"/>
  <c r="G11" i="18"/>
  <c r="G9" i="18"/>
  <c r="F9" i="18"/>
  <c r="H8" i="18"/>
  <c r="G8" i="18"/>
  <c r="F8" i="18"/>
  <c r="O30" i="14" l="1"/>
  <c r="F13" i="14"/>
  <c r="I8" i="13"/>
  <c r="N15" i="13"/>
  <c r="D4" i="16"/>
  <c r="D8" i="16"/>
  <c r="D9" i="16"/>
  <c r="D11" i="16"/>
  <c r="D12" i="16"/>
  <c r="D17" i="16"/>
  <c r="D19" i="16"/>
  <c r="D21" i="16"/>
  <c r="D22" i="16"/>
  <c r="D24" i="16"/>
  <c r="D25" i="16"/>
  <c r="D26" i="16"/>
  <c r="D28" i="16"/>
  <c r="D32" i="16"/>
  <c r="D3" i="16"/>
  <c r="P9" i="8"/>
  <c r="J15" i="13"/>
  <c r="K15" i="13" s="1"/>
  <c r="H15" i="13"/>
  <c r="G15" i="11"/>
  <c r="M12" i="8"/>
  <c r="F31" i="14" s="1"/>
  <c r="M11" i="8"/>
  <c r="M10" i="8"/>
  <c r="M8" i="8"/>
  <c r="N8" i="8" s="1"/>
  <c r="F29" i="14"/>
  <c r="F25" i="14"/>
  <c r="O12" i="8"/>
  <c r="L18" i="10" l="1"/>
  <c r="P30" i="14" s="1"/>
  <c r="N13" i="14"/>
  <c r="M17" i="8" l="1"/>
  <c r="N17" i="8" s="1"/>
  <c r="M37" i="13"/>
  <c r="M36" i="13"/>
  <c r="M35" i="13"/>
  <c r="M32" i="13"/>
  <c r="M30" i="13"/>
  <c r="M29" i="13"/>
  <c r="M28" i="13"/>
  <c r="M26" i="13"/>
  <c r="M25" i="13"/>
  <c r="M24" i="13"/>
  <c r="M23" i="13"/>
  <c r="M21" i="13"/>
  <c r="M20" i="13"/>
  <c r="M19" i="13"/>
  <c r="M18" i="13"/>
  <c r="J8" i="13"/>
  <c r="H11" i="11"/>
  <c r="I36" i="11"/>
  <c r="L11" i="11" l="1"/>
  <c r="F11" i="18"/>
  <c r="F30" i="14"/>
  <c r="E17" i="10"/>
  <c r="F26" i="14"/>
  <c r="P17" i="8"/>
  <c r="N26" i="14" s="1"/>
  <c r="D24" i="14" l="1"/>
  <c r="H9" i="13"/>
  <c r="H11" i="13"/>
  <c r="H12" i="13"/>
  <c r="H13" i="13"/>
  <c r="H14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8" i="13"/>
  <c r="J37" i="13" l="1"/>
  <c r="J36" i="13"/>
  <c r="J35" i="13"/>
  <c r="J32" i="13"/>
  <c r="J30" i="13"/>
  <c r="J29" i="13"/>
  <c r="J28" i="13"/>
  <c r="J26" i="13"/>
  <c r="J25" i="13"/>
  <c r="J24" i="13"/>
  <c r="J23" i="13"/>
  <c r="J21" i="13"/>
  <c r="J20" i="13"/>
  <c r="J19" i="13"/>
  <c r="J18" i="13"/>
  <c r="J14" i="13"/>
  <c r="J13" i="13"/>
  <c r="J12" i="13"/>
  <c r="J11" i="13"/>
  <c r="J9" i="13"/>
  <c r="N24" i="10" l="1"/>
  <c r="D30" i="14" l="1"/>
  <c r="D26" i="14"/>
  <c r="K24" i="10"/>
  <c r="H24" i="10"/>
  <c r="E9" i="13"/>
  <c r="E13" i="13"/>
  <c r="E14" i="13"/>
  <c r="E24" i="13"/>
  <c r="E26" i="13"/>
  <c r="E29" i="13"/>
  <c r="E30" i="13"/>
  <c r="E33" i="13"/>
  <c r="E37" i="13"/>
  <c r="D37" i="13"/>
  <c r="C37" i="13"/>
  <c r="D36" i="13"/>
  <c r="C36" i="13"/>
  <c r="D35" i="13"/>
  <c r="C35" i="13"/>
  <c r="D32" i="13"/>
  <c r="C32" i="13"/>
  <c r="D31" i="13"/>
  <c r="C31" i="13"/>
  <c r="D30" i="13"/>
  <c r="C30" i="13"/>
  <c r="D29" i="13"/>
  <c r="C29" i="13"/>
  <c r="D28" i="13"/>
  <c r="C28" i="13"/>
  <c r="D27" i="13"/>
  <c r="C27" i="13"/>
  <c r="D26" i="13"/>
  <c r="C26" i="13"/>
  <c r="D25" i="13"/>
  <c r="C25" i="13"/>
  <c r="D24" i="13"/>
  <c r="C24" i="13"/>
  <c r="D23" i="13"/>
  <c r="C23" i="13"/>
  <c r="D22" i="13"/>
  <c r="C22" i="13"/>
  <c r="D21" i="13"/>
  <c r="C21" i="13"/>
  <c r="D20" i="13"/>
  <c r="C20" i="13"/>
  <c r="D19" i="13"/>
  <c r="C19" i="13"/>
  <c r="D18" i="13"/>
  <c r="C18" i="13"/>
  <c r="D17" i="13"/>
  <c r="C17" i="13"/>
  <c r="D16" i="13"/>
  <c r="C16" i="13"/>
  <c r="D15" i="13"/>
  <c r="C15" i="13"/>
  <c r="D14" i="13"/>
  <c r="C14" i="13"/>
  <c r="D13" i="13"/>
  <c r="D12" i="13"/>
  <c r="C12" i="13"/>
  <c r="D11" i="13"/>
  <c r="C11" i="13"/>
  <c r="D10" i="13"/>
  <c r="C10" i="13"/>
  <c r="D9" i="13"/>
  <c r="C9" i="13"/>
  <c r="D8" i="13"/>
  <c r="C8" i="13"/>
  <c r="F31" i="11"/>
  <c r="G31" i="11"/>
  <c r="H31" i="11"/>
  <c r="I31" i="11"/>
  <c r="E31" i="11"/>
  <c r="E27" i="11"/>
  <c r="F27" i="11"/>
  <c r="G27" i="11"/>
  <c r="H27" i="11"/>
  <c r="I27" i="11"/>
  <c r="H9" i="11"/>
  <c r="H12" i="11"/>
  <c r="H13" i="11"/>
  <c r="H14" i="11"/>
  <c r="H15" i="11"/>
  <c r="H16" i="11"/>
  <c r="H17" i="11"/>
  <c r="H18" i="11"/>
  <c r="H19" i="11"/>
  <c r="L19" i="11" s="1"/>
  <c r="O19" i="11" s="1"/>
  <c r="H20" i="11"/>
  <c r="H21" i="11"/>
  <c r="H22" i="11"/>
  <c r="H23" i="11"/>
  <c r="H24" i="11"/>
  <c r="H25" i="11"/>
  <c r="H26" i="11"/>
  <c r="H28" i="11"/>
  <c r="H29" i="11"/>
  <c r="H30" i="11"/>
  <c r="H32" i="11"/>
  <c r="H35" i="11"/>
  <c r="O35" i="11" s="1"/>
  <c r="H36" i="11"/>
  <c r="H37" i="11"/>
  <c r="H8" i="11"/>
  <c r="G9" i="11"/>
  <c r="G11" i="11"/>
  <c r="G12" i="11"/>
  <c r="G13" i="11"/>
  <c r="G14" i="11"/>
  <c r="G16" i="11"/>
  <c r="G17" i="11"/>
  <c r="G18" i="11"/>
  <c r="G19" i="11"/>
  <c r="G20" i="11"/>
  <c r="G21" i="11"/>
  <c r="G22" i="11"/>
  <c r="G23" i="11"/>
  <c r="G24" i="11"/>
  <c r="G25" i="11"/>
  <c r="G26" i="11"/>
  <c r="G28" i="11"/>
  <c r="G29" i="11"/>
  <c r="G30" i="11"/>
  <c r="G32" i="11"/>
  <c r="L32" i="11" s="1"/>
  <c r="G35" i="11"/>
  <c r="G36" i="11"/>
  <c r="G37" i="11"/>
  <c r="G8" i="11"/>
  <c r="I9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L25" i="11" s="1"/>
  <c r="I26" i="11"/>
  <c r="I28" i="11"/>
  <c r="I29" i="11"/>
  <c r="I30" i="11"/>
  <c r="I32" i="11"/>
  <c r="I35" i="11"/>
  <c r="I37" i="11"/>
  <c r="I8" i="11"/>
  <c r="F8" i="11"/>
  <c r="F9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L23" i="11" s="1"/>
  <c r="F24" i="11"/>
  <c r="L24" i="11" s="1"/>
  <c r="F25" i="11"/>
  <c r="F26" i="11"/>
  <c r="L26" i="11" s="1"/>
  <c r="F28" i="11"/>
  <c r="F29" i="11"/>
  <c r="F30" i="11"/>
  <c r="F32" i="11"/>
  <c r="F35" i="11"/>
  <c r="F36" i="11"/>
  <c r="F37" i="11"/>
  <c r="L37" i="11" s="1"/>
  <c r="E9" i="11"/>
  <c r="L9" i="11" s="1"/>
  <c r="E11" i="11"/>
  <c r="E12" i="11"/>
  <c r="E13" i="11"/>
  <c r="E14" i="11"/>
  <c r="L14" i="11" s="1"/>
  <c r="E15" i="11"/>
  <c r="L15" i="11" s="1"/>
  <c r="O15" i="11" s="1"/>
  <c r="F15" i="18" s="1"/>
  <c r="E16" i="11"/>
  <c r="E17" i="11"/>
  <c r="E18" i="11"/>
  <c r="E19" i="11"/>
  <c r="E20" i="11"/>
  <c r="L20" i="11" s="1"/>
  <c r="O20" i="11" s="1"/>
  <c r="E21" i="11"/>
  <c r="L21" i="11" s="1"/>
  <c r="E22" i="11"/>
  <c r="E23" i="11"/>
  <c r="E24" i="11"/>
  <c r="E25" i="11"/>
  <c r="E26" i="11"/>
  <c r="E28" i="11"/>
  <c r="L28" i="11" s="1"/>
  <c r="O28" i="11" s="1"/>
  <c r="E29" i="11"/>
  <c r="L29" i="11" s="1"/>
  <c r="E30" i="11"/>
  <c r="E32" i="11"/>
  <c r="L33" i="11"/>
  <c r="E35" i="11"/>
  <c r="E36" i="11"/>
  <c r="L36" i="11" s="1"/>
  <c r="O36" i="11" s="1"/>
  <c r="E37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5" i="11"/>
  <c r="D36" i="11"/>
  <c r="D37" i="11"/>
  <c r="C9" i="11"/>
  <c r="A4" i="16" s="1"/>
  <c r="C4" i="16" s="1"/>
  <c r="C10" i="11"/>
  <c r="A5" i="16" s="1"/>
  <c r="C5" i="16" s="1"/>
  <c r="C11" i="11"/>
  <c r="A6" i="16" s="1"/>
  <c r="C6" i="16" s="1"/>
  <c r="C12" i="11"/>
  <c r="A7" i="16" s="1"/>
  <c r="C7" i="16" s="1"/>
  <c r="C13" i="11"/>
  <c r="A8" i="16" s="1"/>
  <c r="C8" i="16" s="1"/>
  <c r="C14" i="11"/>
  <c r="A9" i="16" s="1"/>
  <c r="C9" i="16" s="1"/>
  <c r="C15" i="11"/>
  <c r="A10" i="16" s="1"/>
  <c r="C10" i="16" s="1"/>
  <c r="C16" i="11"/>
  <c r="A11" i="16" s="1"/>
  <c r="C11" i="16" s="1"/>
  <c r="C17" i="11"/>
  <c r="A12" i="16" s="1"/>
  <c r="C12" i="16" s="1"/>
  <c r="C18" i="11"/>
  <c r="A13" i="16" s="1"/>
  <c r="C13" i="16" s="1"/>
  <c r="C19" i="11"/>
  <c r="A14" i="16" s="1"/>
  <c r="C14" i="16" s="1"/>
  <c r="C20" i="11"/>
  <c r="A15" i="16" s="1"/>
  <c r="C15" i="16" s="1"/>
  <c r="C21" i="11"/>
  <c r="A16" i="16" s="1"/>
  <c r="C16" i="16" s="1"/>
  <c r="C22" i="11"/>
  <c r="A17" i="16" s="1"/>
  <c r="C17" i="16" s="1"/>
  <c r="C23" i="11"/>
  <c r="A18" i="16" s="1"/>
  <c r="C18" i="16" s="1"/>
  <c r="C24" i="11"/>
  <c r="A19" i="16" s="1"/>
  <c r="C19" i="16" s="1"/>
  <c r="C25" i="11"/>
  <c r="A20" i="16" s="1"/>
  <c r="C20" i="16" s="1"/>
  <c r="C26" i="11"/>
  <c r="A21" i="16" s="1"/>
  <c r="C21" i="16" s="1"/>
  <c r="C27" i="11"/>
  <c r="A22" i="16" s="1"/>
  <c r="C22" i="16" s="1"/>
  <c r="C28" i="11"/>
  <c r="A23" i="16" s="1"/>
  <c r="C23" i="16" s="1"/>
  <c r="C29" i="11"/>
  <c r="A24" i="16" s="1"/>
  <c r="C24" i="16" s="1"/>
  <c r="C30" i="11"/>
  <c r="A25" i="16" s="1"/>
  <c r="C25" i="16" s="1"/>
  <c r="C31" i="11"/>
  <c r="A26" i="16" s="1"/>
  <c r="C26" i="16" s="1"/>
  <c r="C32" i="11"/>
  <c r="A27" i="16" s="1"/>
  <c r="C27" i="16" s="1"/>
  <c r="A28" i="16"/>
  <c r="C28" i="16" s="1"/>
  <c r="C35" i="11"/>
  <c r="A30" i="16" s="1"/>
  <c r="C30" i="16" s="1"/>
  <c r="C36" i="11"/>
  <c r="A31" i="16" s="1"/>
  <c r="C31" i="16" s="1"/>
  <c r="C37" i="11"/>
  <c r="A32" i="16" s="1"/>
  <c r="C32" i="16" s="1"/>
  <c r="D8" i="11"/>
  <c r="C8" i="11"/>
  <c r="A3" i="16" s="1"/>
  <c r="C3" i="16" s="1"/>
  <c r="L8" i="11"/>
  <c r="D31" i="16" l="1"/>
  <c r="F36" i="18"/>
  <c r="D14" i="16"/>
  <c r="F19" i="18"/>
  <c r="D30" i="16"/>
  <c r="D15" i="16"/>
  <c r="F20" i="18"/>
  <c r="D23" i="16"/>
  <c r="F28" i="18"/>
  <c r="I24" i="13"/>
  <c r="I30" i="13"/>
  <c r="I29" i="13"/>
  <c r="I26" i="13"/>
  <c r="D10" i="16"/>
  <c r="E15" i="13"/>
  <c r="L12" i="11"/>
  <c r="O12" i="11" s="1"/>
  <c r="L18" i="11"/>
  <c r="O18" i="11"/>
  <c r="I14" i="13"/>
  <c r="J14" i="18" s="1"/>
  <c r="J33" i="18"/>
  <c r="I9" i="13"/>
  <c r="J9" i="18" s="1"/>
  <c r="J29" i="18"/>
  <c r="L35" i="11"/>
  <c r="E28" i="13"/>
  <c r="I13" i="13"/>
  <c r="J13" i="18" s="1"/>
  <c r="J24" i="18"/>
  <c r="I37" i="13"/>
  <c r="J37" i="18" s="1"/>
  <c r="D7" i="16" l="1"/>
  <c r="F12" i="18"/>
  <c r="D13" i="16"/>
  <c r="F18" i="18"/>
  <c r="I28" i="13"/>
  <c r="K33" i="13"/>
  <c r="L33" i="13" s="1"/>
  <c r="K14" i="13"/>
  <c r="L14" i="13" s="1"/>
  <c r="K26" i="13"/>
  <c r="J26" i="18"/>
  <c r="K30" i="13"/>
  <c r="J30" i="18"/>
  <c r="U15" i="13"/>
  <c r="K9" i="13"/>
  <c r="L9" i="13" s="1"/>
  <c r="K29" i="13"/>
  <c r="K24" i="13"/>
  <c r="K13" i="13"/>
  <c r="L13" i="13" s="1"/>
  <c r="K37" i="13"/>
  <c r="F10" i="16" l="1"/>
  <c r="N15" i="18"/>
  <c r="N14" i="13"/>
  <c r="O14" i="13" s="1"/>
  <c r="L29" i="13"/>
  <c r="K29" i="18" s="1"/>
  <c r="L37" i="13"/>
  <c r="K37" i="18" s="1"/>
  <c r="L26" i="13"/>
  <c r="N26" i="13" s="1"/>
  <c r="O26" i="13" s="1"/>
  <c r="Q26" i="13" s="1"/>
  <c r="U26" i="13" s="1"/>
  <c r="K9" i="18"/>
  <c r="K13" i="18"/>
  <c r="N13" i="13"/>
  <c r="L24" i="13"/>
  <c r="K24" i="18" s="1"/>
  <c r="L30" i="13"/>
  <c r="N30" i="13" s="1"/>
  <c r="O30" i="13" s="1"/>
  <c r="Q30" i="13" s="1"/>
  <c r="U30" i="13" s="1"/>
  <c r="R15" i="13"/>
  <c r="M15" i="18" s="1"/>
  <c r="N9" i="13"/>
  <c r="N29" i="13"/>
  <c r="N33" i="13"/>
  <c r="N37" i="13"/>
  <c r="L13" i="11"/>
  <c r="L30" i="11"/>
  <c r="D6" i="16"/>
  <c r="O25" i="11"/>
  <c r="O32" i="11"/>
  <c r="O23" i="11"/>
  <c r="O21" i="11"/>
  <c r="O30" i="8"/>
  <c r="O29" i="8"/>
  <c r="M30" i="8"/>
  <c r="F28" i="14" s="1"/>
  <c r="M29" i="8"/>
  <c r="F27" i="14" s="1"/>
  <c r="O10" i="8"/>
  <c r="O11" i="8"/>
  <c r="O8" i="8"/>
  <c r="N11" i="8"/>
  <c r="D18" i="16" l="1"/>
  <c r="F23" i="18"/>
  <c r="D20" i="16"/>
  <c r="F25" i="18"/>
  <c r="D27" i="16"/>
  <c r="F32" i="18"/>
  <c r="D16" i="16"/>
  <c r="F21" i="18"/>
  <c r="F21" i="16"/>
  <c r="N26" i="18"/>
  <c r="F25" i="16"/>
  <c r="N30" i="18"/>
  <c r="K26" i="18"/>
  <c r="K30" i="18"/>
  <c r="E10" i="16"/>
  <c r="K14" i="18"/>
  <c r="S15" i="13"/>
  <c r="L30" i="18"/>
  <c r="L26" i="18"/>
  <c r="R26" i="13"/>
  <c r="L14" i="18"/>
  <c r="Q14" i="13"/>
  <c r="R30" i="13"/>
  <c r="O29" i="13"/>
  <c r="Q29" i="13" s="1"/>
  <c r="U29" i="13" s="1"/>
  <c r="O9" i="13"/>
  <c r="O33" i="13"/>
  <c r="Q33" i="13" s="1"/>
  <c r="U33" i="13" s="1"/>
  <c r="O13" i="13"/>
  <c r="O37" i="13"/>
  <c r="Q37" i="13" s="1"/>
  <c r="U37" i="13" s="1"/>
  <c r="N10" i="8"/>
  <c r="P10" i="8" s="1"/>
  <c r="N25" i="14" s="1"/>
  <c r="N29" i="8"/>
  <c r="P29" i="8" s="1"/>
  <c r="N27" i="14" s="1"/>
  <c r="N12" i="8"/>
  <c r="P12" i="8" s="1"/>
  <c r="N31" i="14" s="1"/>
  <c r="N30" i="8"/>
  <c r="P30" i="8" s="1"/>
  <c r="N28" i="14" s="1"/>
  <c r="P8" i="8"/>
  <c r="F24" i="14"/>
  <c r="E30" i="10"/>
  <c r="G30" i="10" s="1"/>
  <c r="N24" i="13"/>
  <c r="F15" i="14"/>
  <c r="E24" i="10"/>
  <c r="E19" i="13"/>
  <c r="E20" i="13"/>
  <c r="E12" i="13"/>
  <c r="E36" i="13"/>
  <c r="E23" i="13"/>
  <c r="E25" i="13"/>
  <c r="E11" i="13"/>
  <c r="E21" i="13"/>
  <c r="E32" i="13"/>
  <c r="E18" i="13"/>
  <c r="I35" i="13"/>
  <c r="J35" i="18" s="1"/>
  <c r="J28" i="18"/>
  <c r="E29" i="10"/>
  <c r="G29" i="10" s="1"/>
  <c r="E11" i="10"/>
  <c r="G11" i="10" s="1"/>
  <c r="E8" i="10"/>
  <c r="G8" i="10" s="1"/>
  <c r="E12" i="10"/>
  <c r="E9" i="10"/>
  <c r="E10" i="10"/>
  <c r="G10" i="10" s="1"/>
  <c r="P11" i="8"/>
  <c r="N29" i="14" s="1"/>
  <c r="F32" i="16" l="1"/>
  <c r="N37" i="18"/>
  <c r="F28" i="16"/>
  <c r="N33" i="18"/>
  <c r="E21" i="16"/>
  <c r="M26" i="18"/>
  <c r="F24" i="16"/>
  <c r="N29" i="18"/>
  <c r="E25" i="16"/>
  <c r="M30" i="18"/>
  <c r="R14" i="13"/>
  <c r="U14" i="13"/>
  <c r="S26" i="13"/>
  <c r="S30" i="13"/>
  <c r="L29" i="18"/>
  <c r="I29" i="10"/>
  <c r="O27" i="14" s="1"/>
  <c r="T27" i="14"/>
  <c r="G24" i="10"/>
  <c r="I24" i="10" s="1"/>
  <c r="I30" i="10"/>
  <c r="O28" i="14" s="1"/>
  <c r="T28" i="14"/>
  <c r="L37" i="18"/>
  <c r="Q9" i="13"/>
  <c r="U9" i="13" s="1"/>
  <c r="L9" i="18"/>
  <c r="L13" i="18"/>
  <c r="Q13" i="13"/>
  <c r="L33" i="18"/>
  <c r="R33" i="13"/>
  <c r="I11" i="10"/>
  <c r="O29" i="14" s="1"/>
  <c r="T29" i="14"/>
  <c r="I10" i="10"/>
  <c r="O25" i="14" s="1"/>
  <c r="T25" i="14"/>
  <c r="R29" i="13"/>
  <c r="R37" i="13"/>
  <c r="O24" i="13"/>
  <c r="Q24" i="13" s="1"/>
  <c r="U24" i="13" s="1"/>
  <c r="N15" i="14"/>
  <c r="F25" i="13"/>
  <c r="N24" i="14"/>
  <c r="I36" i="13"/>
  <c r="J36" i="18" s="1"/>
  <c r="I19" i="13"/>
  <c r="J19" i="18" s="1"/>
  <c r="I11" i="13"/>
  <c r="J11" i="18" s="1"/>
  <c r="G12" i="10"/>
  <c r="T31" i="14" s="1"/>
  <c r="I8" i="10"/>
  <c r="T24" i="14"/>
  <c r="G17" i="10"/>
  <c r="T26" i="14" s="1"/>
  <c r="K35" i="13"/>
  <c r="K28" i="13"/>
  <c r="G9" i="10"/>
  <c r="T15" i="14"/>
  <c r="I18" i="13"/>
  <c r="J18" i="18" s="1"/>
  <c r="F24" i="10"/>
  <c r="F29" i="10"/>
  <c r="F30" i="10"/>
  <c r="F17" i="10"/>
  <c r="F10" i="10"/>
  <c r="F12" i="10"/>
  <c r="F11" i="10"/>
  <c r="F8" i="10"/>
  <c r="F9" i="10"/>
  <c r="F20" i="13" l="1"/>
  <c r="J11" i="10"/>
  <c r="F23" i="13"/>
  <c r="J10" i="10"/>
  <c r="J30" i="10"/>
  <c r="J29" i="10"/>
  <c r="U27" i="14" s="1"/>
  <c r="F19" i="16"/>
  <c r="N24" i="18"/>
  <c r="E28" i="16"/>
  <c r="M33" i="18"/>
  <c r="E32" i="16"/>
  <c r="M37" i="18"/>
  <c r="E24" i="16"/>
  <c r="M29" i="18"/>
  <c r="F9" i="16"/>
  <c r="N14" i="18"/>
  <c r="E9" i="16"/>
  <c r="M14" i="18"/>
  <c r="F4" i="16"/>
  <c r="N9" i="18"/>
  <c r="L28" i="13"/>
  <c r="K28" i="18" s="1"/>
  <c r="L35" i="13"/>
  <c r="K35" i="18" s="1"/>
  <c r="R9" i="13"/>
  <c r="S33" i="13"/>
  <c r="S29" i="13"/>
  <c r="R13" i="13"/>
  <c r="U13" i="13"/>
  <c r="S37" i="13"/>
  <c r="S14" i="13"/>
  <c r="L30" i="10"/>
  <c r="P28" i="14" s="1"/>
  <c r="U28" i="14"/>
  <c r="L24" i="18"/>
  <c r="R24" i="13"/>
  <c r="L11" i="10"/>
  <c r="P29" i="14" s="1"/>
  <c r="U29" i="14"/>
  <c r="L10" i="10"/>
  <c r="P25" i="14" s="1"/>
  <c r="U25" i="14"/>
  <c r="I9" i="10"/>
  <c r="T13" i="14"/>
  <c r="J24" i="10"/>
  <c r="O15" i="14"/>
  <c r="K36" i="13"/>
  <c r="O24" i="14"/>
  <c r="F12" i="13"/>
  <c r="F21" i="13"/>
  <c r="K19" i="13"/>
  <c r="L19" i="13" s="1"/>
  <c r="K11" i="13"/>
  <c r="L11" i="13" s="1"/>
  <c r="I17" i="10"/>
  <c r="O26" i="14" s="1"/>
  <c r="J8" i="10"/>
  <c r="K18" i="13"/>
  <c r="L18" i="13" s="1"/>
  <c r="L29" i="10" l="1"/>
  <c r="P27" i="14" s="1"/>
  <c r="G23" i="13"/>
  <c r="G25" i="13"/>
  <c r="E19" i="16"/>
  <c r="M24" i="18"/>
  <c r="E8" i="16"/>
  <c r="M13" i="18"/>
  <c r="F8" i="16"/>
  <c r="N13" i="18"/>
  <c r="E4" i="16"/>
  <c r="M9" i="18"/>
  <c r="K11" i="18"/>
  <c r="N11" i="13"/>
  <c r="S9" i="13"/>
  <c r="I25" i="13"/>
  <c r="J25" i="18" s="1"/>
  <c r="I23" i="13"/>
  <c r="J23" i="18" s="1"/>
  <c r="L36" i="13"/>
  <c r="K36" i="18" s="1"/>
  <c r="S13" i="13"/>
  <c r="S24" i="13"/>
  <c r="N19" i="13"/>
  <c r="O19" i="13" s="1"/>
  <c r="Q19" i="13" s="1"/>
  <c r="U19" i="13" s="1"/>
  <c r="K19" i="18"/>
  <c r="G20" i="13"/>
  <c r="J9" i="10"/>
  <c r="L9" i="10" s="1"/>
  <c r="O13" i="14"/>
  <c r="K18" i="18"/>
  <c r="N28" i="13"/>
  <c r="N35" i="13"/>
  <c r="L19" i="10"/>
  <c r="P32" i="14" s="1"/>
  <c r="J17" i="10"/>
  <c r="U26" i="14" s="1"/>
  <c r="L8" i="10"/>
  <c r="U24" i="14"/>
  <c r="L24" i="10"/>
  <c r="U15" i="14"/>
  <c r="P13" i="14" l="1"/>
  <c r="G15" i="13"/>
  <c r="N36" i="13"/>
  <c r="F14" i="16"/>
  <c r="N19" i="18"/>
  <c r="M9" i="10"/>
  <c r="O9" i="10" s="1"/>
  <c r="P9" i="10" s="1"/>
  <c r="R9" i="10" s="1"/>
  <c r="S9" i="10" s="1"/>
  <c r="U9" i="10" s="1"/>
  <c r="S13" i="14" s="1"/>
  <c r="L19" i="18"/>
  <c r="U13" i="14"/>
  <c r="I20" i="13"/>
  <c r="J20" i="18" s="1"/>
  <c r="M24" i="10"/>
  <c r="O35" i="13"/>
  <c r="Q35" i="13" s="1"/>
  <c r="U35" i="13" s="1"/>
  <c r="O11" i="13"/>
  <c r="O36" i="13"/>
  <c r="O28" i="13"/>
  <c r="Q28" i="13" s="1"/>
  <c r="U28" i="13" s="1"/>
  <c r="R19" i="13"/>
  <c r="N18" i="13"/>
  <c r="P24" i="14"/>
  <c r="G12" i="13"/>
  <c r="G21" i="13"/>
  <c r="P15" i="14"/>
  <c r="L17" i="10"/>
  <c r="P26" i="14" s="1"/>
  <c r="K23" i="13"/>
  <c r="K25" i="13"/>
  <c r="L25" i="13" s="1"/>
  <c r="K25" i="18" s="1"/>
  <c r="V13" i="14" l="1"/>
  <c r="E14" i="16"/>
  <c r="M19" i="18"/>
  <c r="F23" i="16"/>
  <c r="N28" i="18"/>
  <c r="Q36" i="13"/>
  <c r="U36" i="13" s="1"/>
  <c r="L36" i="18"/>
  <c r="F30" i="16"/>
  <c r="N35" i="18"/>
  <c r="L23" i="13"/>
  <c r="K23" i="18" s="1"/>
  <c r="I21" i="13"/>
  <c r="J21" i="18" s="1"/>
  <c r="S19" i="13"/>
  <c r="R28" i="13"/>
  <c r="L28" i="18"/>
  <c r="L35" i="18"/>
  <c r="Q13" i="14"/>
  <c r="K20" i="13"/>
  <c r="Q11" i="13"/>
  <c r="L11" i="18"/>
  <c r="W13" i="14"/>
  <c r="V15" i="14"/>
  <c r="O18" i="13"/>
  <c r="Q18" i="13" s="1"/>
  <c r="U18" i="13" s="1"/>
  <c r="R35" i="13"/>
  <c r="I12" i="13"/>
  <c r="J12" i="18" s="1"/>
  <c r="O24" i="10"/>
  <c r="P24" i="10" s="1"/>
  <c r="R24" i="10" s="1"/>
  <c r="S24" i="10" s="1"/>
  <c r="U24" i="10" s="1"/>
  <c r="V24" i="10" s="1"/>
  <c r="X24" i="10" s="1"/>
  <c r="Y24" i="10" s="1"/>
  <c r="Z15" i="14" s="1"/>
  <c r="R36" i="13" l="1"/>
  <c r="E31" i="16" s="1"/>
  <c r="M36" i="18"/>
  <c r="F13" i="16"/>
  <c r="N18" i="18"/>
  <c r="E30" i="16"/>
  <c r="M35" i="18"/>
  <c r="E23" i="16"/>
  <c r="M28" i="18"/>
  <c r="F31" i="16"/>
  <c r="N36" i="18"/>
  <c r="L20" i="13"/>
  <c r="K20" i="18" s="1"/>
  <c r="S35" i="13"/>
  <c r="S36" i="13"/>
  <c r="S28" i="13"/>
  <c r="R11" i="13"/>
  <c r="U11" i="13"/>
  <c r="L18" i="18"/>
  <c r="R13" i="14"/>
  <c r="X13" i="14"/>
  <c r="Q15" i="14"/>
  <c r="R18" i="13"/>
  <c r="K12" i="13"/>
  <c r="L12" i="13" s="1"/>
  <c r="K21" i="13"/>
  <c r="N23" i="13"/>
  <c r="N25" i="13"/>
  <c r="I12" i="10"/>
  <c r="O31" i="14" s="1"/>
  <c r="N20" i="13" l="1"/>
  <c r="O20" i="13" s="1"/>
  <c r="Q20" i="13" s="1"/>
  <c r="U20" i="13" s="1"/>
  <c r="E13" i="16"/>
  <c r="M18" i="18"/>
  <c r="F6" i="16"/>
  <c r="N11" i="18"/>
  <c r="E6" i="16"/>
  <c r="M11" i="18"/>
  <c r="K12" i="18"/>
  <c r="L21" i="13"/>
  <c r="N21" i="13" s="1"/>
  <c r="S11" i="13"/>
  <c r="S18" i="13"/>
  <c r="W15" i="14"/>
  <c r="O25" i="13"/>
  <c r="O23" i="13"/>
  <c r="Q23" i="13" s="1"/>
  <c r="U23" i="13" s="1"/>
  <c r="F32" i="13"/>
  <c r="N12" i="13"/>
  <c r="J12" i="10"/>
  <c r="U31" i="14" s="1"/>
  <c r="Q25" i="13" l="1"/>
  <c r="U25" i="13" s="1"/>
  <c r="L25" i="18"/>
  <c r="F18" i="16"/>
  <c r="N23" i="18"/>
  <c r="F15" i="16"/>
  <c r="N20" i="18"/>
  <c r="O21" i="13"/>
  <c r="Q21" i="13" s="1"/>
  <c r="U21" i="13" s="1"/>
  <c r="K21" i="18"/>
  <c r="L23" i="18"/>
  <c r="L20" i="18"/>
  <c r="R15" i="14"/>
  <c r="R23" i="13"/>
  <c r="O12" i="13"/>
  <c r="Q12" i="13" s="1"/>
  <c r="U12" i="13" s="1"/>
  <c r="R20" i="13"/>
  <c r="L12" i="10"/>
  <c r="P31" i="14" s="1"/>
  <c r="R25" i="13" l="1"/>
  <c r="E20" i="16" s="1"/>
  <c r="F16" i="16"/>
  <c r="N21" i="18"/>
  <c r="E18" i="16"/>
  <c r="M23" i="18"/>
  <c r="E15" i="16"/>
  <c r="M20" i="18"/>
  <c r="F20" i="16"/>
  <c r="N25" i="18"/>
  <c r="F7" i="16"/>
  <c r="N12" i="18"/>
  <c r="R21" i="13"/>
  <c r="S23" i="13"/>
  <c r="S20" i="13"/>
  <c r="S25" i="13"/>
  <c r="L21" i="18"/>
  <c r="L12" i="18"/>
  <c r="Y15" i="14"/>
  <c r="X15" i="14"/>
  <c r="R12" i="13"/>
  <c r="G32" i="13"/>
  <c r="M25" i="18" l="1"/>
  <c r="E16" i="16"/>
  <c r="M21" i="18"/>
  <c r="E7" i="16"/>
  <c r="M12" i="18"/>
  <c r="I32" i="13"/>
  <c r="J32" i="18" s="1"/>
  <c r="S12" i="13"/>
  <c r="S21" i="13"/>
  <c r="K32" i="13" l="1"/>
  <c r="L32" i="13" l="1"/>
  <c r="K32" i="18" s="1"/>
  <c r="N32" i="13" l="1"/>
  <c r="O32" i="13" s="1"/>
  <c r="Q32" i="13" s="1"/>
  <c r="U32" i="13" s="1"/>
  <c r="F27" i="16" l="1"/>
  <c r="N32" i="18"/>
  <c r="R32" i="13"/>
  <c r="M32" i="18" s="1"/>
  <c r="L32" i="18"/>
  <c r="S32" i="13" l="1"/>
  <c r="E27" i="16"/>
  <c r="J10" i="13"/>
  <c r="E10" i="11"/>
  <c r="H10" i="11"/>
  <c r="L10" i="11" s="1"/>
  <c r="G10" i="11"/>
  <c r="F10" i="11"/>
  <c r="M35" i="15"/>
  <c r="M37" i="15" s="1"/>
  <c r="H10" i="13"/>
  <c r="L35" i="15"/>
  <c r="L37" i="15" s="1"/>
  <c r="F35" i="15"/>
  <c r="F37" i="15" s="1"/>
  <c r="G35" i="15"/>
  <c r="G37" i="15" s="1"/>
  <c r="O35" i="15"/>
  <c r="O37" i="15" s="1"/>
  <c r="I10" i="11"/>
  <c r="I35" i="15"/>
  <c r="I37" i="15" s="1"/>
  <c r="J35" i="15"/>
  <c r="J37" i="15" s="1"/>
  <c r="H35" i="15"/>
  <c r="H37" i="15" s="1"/>
  <c r="K35" i="15"/>
  <c r="K37" i="15" s="1"/>
  <c r="N35" i="15"/>
  <c r="N37" i="15" s="1"/>
  <c r="D5" i="16" l="1"/>
  <c r="D33" i="16" s="1"/>
  <c r="E10" i="13"/>
  <c r="I10" i="13" l="1"/>
  <c r="J10" i="18" s="1"/>
  <c r="K10" i="13" l="1"/>
  <c r="L10" i="13" s="1"/>
  <c r="K10" i="18" s="1"/>
  <c r="N10" i="13" l="1"/>
  <c r="L10" i="18" l="1"/>
  <c r="Q10" i="13"/>
  <c r="F5" i="16" l="1"/>
  <c r="N10" i="18"/>
  <c r="K8" i="13"/>
  <c r="L8" i="13" s="1"/>
  <c r="E5" i="16" l="1"/>
  <c r="M10" i="18"/>
  <c r="J8" i="18"/>
  <c r="N8" i="13" l="1"/>
  <c r="K8" i="18"/>
  <c r="O8" i="13" l="1"/>
  <c r="Q8" i="13" s="1"/>
  <c r="U8" i="13" s="1"/>
  <c r="F3" i="16" l="1"/>
  <c r="F33" i="16" s="1"/>
  <c r="N8" i="18"/>
  <c r="R8" i="13"/>
  <c r="M8" i="18" s="1"/>
  <c r="L8" i="18"/>
  <c r="S8" i="13" l="1"/>
  <c r="E3" i="16"/>
  <c r="E33" i="16" s="1"/>
</calcChain>
</file>

<file path=xl/sharedStrings.xml><?xml version="1.0" encoding="utf-8"?>
<sst xmlns="http://schemas.openxmlformats.org/spreadsheetml/2006/main" count="786" uniqueCount="279">
  <si>
    <t>CHN</t>
  </si>
  <si>
    <t>Para. 5</t>
  </si>
  <si>
    <t>KOR</t>
  </si>
  <si>
    <t>IND</t>
  </si>
  <si>
    <t>IRN</t>
  </si>
  <si>
    <t>LKA</t>
  </si>
  <si>
    <t>OMN</t>
  </si>
  <si>
    <t>PAK</t>
  </si>
  <si>
    <t>YEM</t>
  </si>
  <si>
    <t>MDV</t>
  </si>
  <si>
    <t>SYC</t>
  </si>
  <si>
    <t>MUS</t>
  </si>
  <si>
    <t>COM</t>
  </si>
  <si>
    <t>Para. 7</t>
  </si>
  <si>
    <t>JPN</t>
  </si>
  <si>
    <t>KEN</t>
  </si>
  <si>
    <t>TZA</t>
  </si>
  <si>
    <t>AUS</t>
  </si>
  <si>
    <t>Para. 8</t>
  </si>
  <si>
    <t>BGD</t>
  </si>
  <si>
    <t>FRA</t>
  </si>
  <si>
    <t>GBR</t>
  </si>
  <si>
    <t>MDG</t>
  </si>
  <si>
    <t>MOZ</t>
  </si>
  <si>
    <t>MYS</t>
  </si>
  <si>
    <t>PHL</t>
  </si>
  <si>
    <t>SDN</t>
  </si>
  <si>
    <t>SOM</t>
  </si>
  <si>
    <t>THA</t>
  </si>
  <si>
    <t>ZAF</t>
  </si>
  <si>
    <t>Reduction</t>
  </si>
  <si>
    <t>Baseline</t>
  </si>
  <si>
    <t>Year</t>
  </si>
  <si>
    <t>Catch (tonnes)</t>
  </si>
  <si>
    <t>Fleet</t>
  </si>
  <si>
    <t>MDV BB</t>
  </si>
  <si>
    <t>MDV HL</t>
  </si>
  <si>
    <t>19/01</t>
  </si>
  <si>
    <t>18/01</t>
  </si>
  <si>
    <t>PS</t>
  </si>
  <si>
    <t>LL</t>
  </si>
  <si>
    <t>GN</t>
  </si>
  <si>
    <t>Res. 19/01 para 13a (2017, 2018, 2019)*</t>
  </si>
  <si>
    <t>Res. 21/01 para. 14</t>
  </si>
  <si>
    <t>14. If over catch of an annual limit for a given CPC listed in paragraphs 5 to 11 occurs, catch limits for that CPC shall be reduced as follows:
  a. for over-catch of limits set forth in Resolution 19/01, in 2020 and/or 2021, 100% of that over-catch shall be deducted from following two years limit, and; 
  b. over-catch in 2022 and following years, 100% of that over-catch shall be deducted from the following two years’ limit, unless;
  c. over-catch for that CPC has occurred in two or more consecutive years, in which case 125% of the over-catch shall be deducted from the following two years limit.</t>
  </si>
  <si>
    <t>Res. 19/01 para. 13</t>
  </si>
  <si>
    <t>13. If over-catch of an annual limit for a given fleet of a CPC listed in paragraph 5 to 10 occurs, catch limits for that fleet shall be reduced as follows:
  a. If the accumulated catch in 2017, 2018 and 2019 exceeds the sum of the catch limit1 for 2017, 2018 and 2019 the excess (over-catch) shall be deducted from the 2021 catch limit.
  b. For 2020 and following years, 100% of that over-catch shall be deducted from the following two years limit; unless
  c. Over-catch for that fleet has occurred in two or more consecutive years, in which case 125% of the overcatch shall be deducted from the following two years limit</t>
  </si>
  <si>
    <r>
      <rPr>
        <b/>
        <sz val="11"/>
        <color rgb="FF000000"/>
        <rFont val="Calibri"/>
        <family val="2"/>
        <scheme val="minor"/>
      </rPr>
      <t>d.</t>
    </r>
    <r>
      <rPr>
        <sz val="11"/>
        <color rgb="FF000000"/>
        <rFont val="Calibri"/>
        <family val="2"/>
        <scheme val="minor"/>
      </rPr>
      <t xml:space="preserve"> Sum of annual limits = </t>
    </r>
    <r>
      <rPr>
        <b/>
        <sz val="11"/>
        <color rgb="FF000000"/>
        <rFont val="Calibri"/>
        <family val="2"/>
        <scheme val="minor"/>
      </rPr>
      <t>c x 2</t>
    </r>
  </si>
  <si>
    <r>
      <rPr>
        <b/>
        <sz val="11"/>
        <color rgb="FF000000"/>
        <rFont val="Calibri"/>
        <family val="2"/>
        <scheme val="minor"/>
      </rPr>
      <t>d.</t>
    </r>
    <r>
      <rPr>
        <sz val="11"/>
        <color rgb="FF000000"/>
        <rFont val="Calibri"/>
        <family val="2"/>
        <scheme val="minor"/>
      </rPr>
      <t xml:space="preserve"> Sum of annual limits = </t>
    </r>
    <r>
      <rPr>
        <b/>
        <sz val="11"/>
        <color rgb="FF000000"/>
        <rFont val="Calibri"/>
        <family val="2"/>
        <scheme val="minor"/>
      </rPr>
      <t>c x 3</t>
    </r>
  </si>
  <si>
    <t>Para. 5.b + 10</t>
  </si>
  <si>
    <t>Para. 5 + 11</t>
  </si>
  <si>
    <t>CPC</t>
  </si>
  <si>
    <t>Para. 6.b</t>
  </si>
  <si>
    <t>-</t>
  </si>
  <si>
    <t>Status</t>
  </si>
  <si>
    <t>Status:</t>
  </si>
  <si>
    <t>2017-2019 (avg.)</t>
  </si>
  <si>
    <t>Max
(2017-2019)</t>
  </si>
  <si>
    <t>Average
(2017-2019)</t>
  </si>
  <si>
    <t>Reference</t>
  </si>
  <si>
    <t>Criteria</t>
  </si>
  <si>
    <t>Code</t>
  </si>
  <si>
    <t>Catches:</t>
  </si>
  <si>
    <r>
      <rPr>
        <sz val="11"/>
        <rFont val="Calibri"/>
        <family val="2"/>
        <scheme val="minor"/>
      </rPr>
      <t xml:space="preserve">0 ≤ catches &lt; 2000 t; </t>
    </r>
    <r>
      <rPr>
        <b/>
        <sz val="11"/>
        <color rgb="FF00B050"/>
        <rFont val="Calibri"/>
        <family val="2"/>
        <scheme val="minor"/>
      </rPr>
      <t xml:space="preserve">2000 t </t>
    </r>
    <r>
      <rPr>
        <b/>
        <sz val="11"/>
        <color rgb="FF00B050"/>
        <rFont val="Calibri"/>
        <family val="2"/>
      </rPr>
      <t>≤</t>
    </r>
    <r>
      <rPr>
        <b/>
        <sz val="11"/>
        <color rgb="FF00B050"/>
        <rFont val="Calibri"/>
        <family val="2"/>
        <scheme val="minor"/>
      </rPr>
      <t xml:space="preserve"> catches &lt; 5000 t</t>
    </r>
    <r>
      <rPr>
        <sz val="11"/>
        <color theme="4"/>
        <rFont val="Calibri"/>
        <family val="2"/>
        <scheme val="minor"/>
      </rPr>
      <t>;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theme="4"/>
        <rFont val="Calibri"/>
        <family val="2"/>
        <scheme val="minor"/>
      </rPr>
      <t xml:space="preserve">catches </t>
    </r>
    <r>
      <rPr>
        <b/>
        <sz val="11"/>
        <color theme="4"/>
        <rFont val="Calibri"/>
        <family val="2"/>
      </rPr>
      <t>≥</t>
    </r>
    <r>
      <rPr>
        <b/>
        <sz val="11"/>
        <color theme="4"/>
        <rFont val="Calibri"/>
        <family val="2"/>
        <scheme val="minor"/>
      </rPr>
      <t xml:space="preserve"> 5000 t</t>
    </r>
  </si>
  <si>
    <t>DG, DW</t>
  </si>
  <si>
    <t>DD, DW</t>
  </si>
  <si>
    <t>DG, C</t>
  </si>
  <si>
    <t>LD, C</t>
  </si>
  <si>
    <t>DG, S, C</t>
  </si>
  <si>
    <t>DD, C</t>
  </si>
  <si>
    <t>LD, S, C</t>
  </si>
  <si>
    <t>Para. 8 + 9</t>
  </si>
  <si>
    <t>1. Purse seine</t>
  </si>
  <si>
    <t>2. Longline</t>
  </si>
  <si>
    <t>3. Gillnet</t>
  </si>
  <si>
    <t>4. Other gears</t>
  </si>
  <si>
    <t>h. Catches</t>
  </si>
  <si>
    <t>i. Reduction</t>
  </si>
  <si>
    <t>*</t>
  </si>
  <si>
    <t>**</t>
  </si>
  <si>
    <t>2018-2019 for Seychelles</t>
  </si>
  <si>
    <t>c x 2 for Seychelles</t>
  </si>
  <si>
    <r>
      <rPr>
        <b/>
        <sz val="11"/>
        <color rgb="FF000000"/>
        <rFont val="Calibri"/>
        <family val="2"/>
        <scheme val="minor"/>
      </rPr>
      <t xml:space="preserve">d. </t>
    </r>
    <r>
      <rPr>
        <sz val="11"/>
        <color rgb="FF000000"/>
        <rFont val="Calibri"/>
        <family val="2"/>
        <scheme val="minor"/>
      </rPr>
      <t xml:space="preserve">Sum of annual limits = </t>
    </r>
    <r>
      <rPr>
        <b/>
        <sz val="11"/>
        <color rgb="FF000000"/>
        <rFont val="Calibri"/>
        <family val="2"/>
        <scheme val="minor"/>
      </rPr>
      <t>c x 3*</t>
    </r>
    <r>
      <rPr>
        <sz val="11"/>
        <color rgb="FF000000"/>
        <rFont val="Calibri"/>
        <family val="2"/>
        <scheme val="minor"/>
      </rPr>
      <t>*</t>
    </r>
  </si>
  <si>
    <t>Res. 19/01 para 13a (2017, 2018, 2019)</t>
  </si>
  <si>
    <t>Res. 19/01 para 13a + 9 for SIDS (2018, 2019)</t>
  </si>
  <si>
    <t>DG</t>
  </si>
  <si>
    <t>Developing country</t>
  </si>
  <si>
    <t>DD</t>
  </si>
  <si>
    <t>Developed country</t>
  </si>
  <si>
    <t>S</t>
  </si>
  <si>
    <t>C</t>
  </si>
  <si>
    <t>DW</t>
  </si>
  <si>
    <t>LD</t>
  </si>
  <si>
    <t>Least developed country</t>
  </si>
  <si>
    <t>b. Overcatch 2017+2018+2019*</t>
  </si>
  <si>
    <t>b. Overcatch 2017+2018+2019</t>
  </si>
  <si>
    <t>Base annual limits (Res. 19/01)</t>
  </si>
  <si>
    <t>a. Base annual limit</t>
  </si>
  <si>
    <t>b. Overcatch 2018+2019</t>
  </si>
  <si>
    <t>d. Catch</t>
  </si>
  <si>
    <t>g. Catch</t>
  </si>
  <si>
    <t>N/A</t>
  </si>
  <si>
    <t>c. Base annual limit</t>
  </si>
  <si>
    <t>c. Limit</t>
  </si>
  <si>
    <t xml:space="preserve"> = a</t>
  </si>
  <si>
    <t xml:space="preserve"> = a - b - e/2</t>
  </si>
  <si>
    <t xml:space="preserve"> = g - f</t>
  </si>
  <si>
    <t xml:space="preserve"> = d - c</t>
  </si>
  <si>
    <t xml:space="preserve"> = a - h/2 - e/2</t>
  </si>
  <si>
    <t>= j - i</t>
  </si>
  <si>
    <t>f. Limit</t>
  </si>
  <si>
    <t>e. Overcatch</t>
  </si>
  <si>
    <t>h. Overcatch</t>
  </si>
  <si>
    <t>i. Limit</t>
  </si>
  <si>
    <t>j. Catch</t>
  </si>
  <si>
    <t>k. Overcatch</t>
  </si>
  <si>
    <t>l. Limit</t>
  </si>
  <si>
    <t>f. Overcatch 2017+2018+2019*</t>
  </si>
  <si>
    <t xml:space="preserve"> = e- d</t>
  </si>
  <si>
    <t>f. Overcatch 2017+2018+2019</t>
  </si>
  <si>
    <t>f. Overcatch 2018+2019</t>
  </si>
  <si>
    <r>
      <rPr>
        <b/>
        <sz val="11"/>
        <color rgb="FF000000"/>
        <rFont val="Calibri"/>
        <family val="2"/>
        <scheme val="minor"/>
      </rPr>
      <t>e.</t>
    </r>
    <r>
      <rPr>
        <sz val="11"/>
        <color rgb="FF000000"/>
        <rFont val="Calibri"/>
        <family val="2"/>
        <scheme val="minor"/>
      </rPr>
      <t xml:space="preserve"> Accumulated catch</t>
    </r>
  </si>
  <si>
    <t>Base annual limits (Res. 21/01)</t>
  </si>
  <si>
    <t>b. 2020</t>
  </si>
  <si>
    <t>c. 2021</t>
  </si>
  <si>
    <t>Calculated annual catch limit differs from base annual limit</t>
  </si>
  <si>
    <t>CPC status</t>
  </si>
  <si>
    <t>= a - b/2 - c/2</t>
  </si>
  <si>
    <t>= f - e</t>
  </si>
  <si>
    <t>= a - b/2 - c/2 - g/2</t>
  </si>
  <si>
    <t>e. Limit</t>
  </si>
  <si>
    <t>g. Overcatch</t>
  </si>
  <si>
    <t>h. Limit</t>
  </si>
  <si>
    <t>ART</t>
  </si>
  <si>
    <t>ALL</t>
  </si>
  <si>
    <t>j. Base annual limit</t>
  </si>
  <si>
    <t>Resolution</t>
  </si>
  <si>
    <t>2017-2019</t>
  </si>
  <si>
    <t>Catches (t)</t>
  </si>
  <si>
    <t>Base annual limit (t)</t>
  </si>
  <si>
    <t>Fishery</t>
  </si>
  <si>
    <t>Industrial purse seiners (LoA &gt; 24m, or operating outside EEZ)</t>
  </si>
  <si>
    <t>Industrial longliners (LoA &gt; 24m, or operating outside EEZ)</t>
  </si>
  <si>
    <t>Calculated / estimated catch limit is negative</t>
  </si>
  <si>
    <t>Calculated / estimated catch limit is lower than base annual limit</t>
  </si>
  <si>
    <t>Industrial gillnetters (LoA &gt; 24m, or operating outside EEZ)</t>
  </si>
  <si>
    <t>Objected to 21/01</t>
  </si>
  <si>
    <t>Objected to 21/01 and 19/01</t>
  </si>
  <si>
    <t>2017-2019 (max)</t>
  </si>
  <si>
    <t>= h * (1 - i) or fixed</t>
  </si>
  <si>
    <t>Para. 5.a</t>
  </si>
  <si>
    <t>Not applicable</t>
  </si>
  <si>
    <t>Industrial fisheries (LoA &gt;24m or operating outside the EEZ)</t>
  </si>
  <si>
    <t>j. Overcatch</t>
  </si>
  <si>
    <t>= i - h</t>
  </si>
  <si>
    <t>= a - g/2 - j/2</t>
  </si>
  <si>
    <t>k. Limit</t>
  </si>
  <si>
    <t>IDN</t>
  </si>
  <si>
    <t>For the determination of the baseline, see Res. 19/01 para. 11</t>
  </si>
  <si>
    <t xml:space="preserve"> = a - k/2 - h/2</t>
  </si>
  <si>
    <t>m. Catch</t>
  </si>
  <si>
    <t>n. Overcatch</t>
  </si>
  <si>
    <t>= m- l</t>
  </si>
  <si>
    <t>o. Limit</t>
  </si>
  <si>
    <t>= a - n/2 - k/2</t>
  </si>
  <si>
    <t>Small Island Developing State</t>
  </si>
  <si>
    <t>Coastal State</t>
  </si>
  <si>
    <t>CPCs that objected to Resolution 21/01 and to which Resolution 19/01 still applies</t>
  </si>
  <si>
    <t>Annual catch limits (t)</t>
  </si>
  <si>
    <t>Distant-Water Fishing Nation</t>
  </si>
  <si>
    <t>p. Catch</t>
  </si>
  <si>
    <t>q. Overcatch</t>
  </si>
  <si>
    <t>= m - l</t>
  </si>
  <si>
    <t>= o</t>
  </si>
  <si>
    <t>= p - o</t>
  </si>
  <si>
    <t>= a - q/2 - n/2</t>
  </si>
  <si>
    <t>Australia</t>
  </si>
  <si>
    <t>Bangladesh</t>
  </si>
  <si>
    <t>China</t>
  </si>
  <si>
    <t>Comoros</t>
  </si>
  <si>
    <t>European Union</t>
  </si>
  <si>
    <t>United Kingdom</t>
  </si>
  <si>
    <t>France OT</t>
  </si>
  <si>
    <t>Indonesia</t>
  </si>
  <si>
    <t>India</t>
  </si>
  <si>
    <t>I.R. Iran</t>
  </si>
  <si>
    <t>Japan</t>
  </si>
  <si>
    <t>Kenya</t>
  </si>
  <si>
    <t>Korea</t>
  </si>
  <si>
    <t>Sri Lanka</t>
  </si>
  <si>
    <t>Madagascar</t>
  </si>
  <si>
    <t>Maldives</t>
  </si>
  <si>
    <t>Mozambique</t>
  </si>
  <si>
    <t>Mauritius</t>
  </si>
  <si>
    <t>Malaysia</t>
  </si>
  <si>
    <t>Oman</t>
  </si>
  <si>
    <t>Pakistan</t>
  </si>
  <si>
    <t>Philippines</t>
  </si>
  <si>
    <t>Sudan</t>
  </si>
  <si>
    <t>Somalia</t>
  </si>
  <si>
    <t>Seychelles</t>
  </si>
  <si>
    <t>Thailand</t>
  </si>
  <si>
    <t>Tanzania</t>
  </si>
  <si>
    <t>Yemen</t>
  </si>
  <si>
    <t>South Africa</t>
  </si>
  <si>
    <t>TOTAL</t>
  </si>
  <si>
    <t>All CPCs</t>
  </si>
  <si>
    <t>CPCs that objected to Resolution 19/01 and to which Resolution 18/01 still applies</t>
  </si>
  <si>
    <t>Fishery type</t>
  </si>
  <si>
    <t>= 0</t>
  </si>
  <si>
    <r>
      <rPr>
        <b/>
        <sz val="11"/>
        <color rgb="FF000000"/>
        <rFont val="Calibri"/>
        <family val="2"/>
        <scheme val="minor"/>
      </rPr>
      <t>LD</t>
    </r>
    <r>
      <rPr>
        <sz val="11"/>
        <color rgb="FF000000"/>
        <rFont val="Calibri"/>
        <family val="2"/>
        <scheme val="minor"/>
      </rPr>
      <t xml:space="preserve"> = least developed, </t>
    </r>
    <r>
      <rPr>
        <b/>
        <sz val="11"/>
        <color rgb="FF000000"/>
        <rFont val="Calibri"/>
        <family val="2"/>
        <scheme val="minor"/>
      </rPr>
      <t>DG</t>
    </r>
    <r>
      <rPr>
        <sz val="11"/>
        <color rgb="FF000000"/>
        <rFont val="Calibri"/>
        <family val="2"/>
        <scheme val="minor"/>
      </rPr>
      <t xml:space="preserve"> = developing, </t>
    </r>
    <r>
      <rPr>
        <b/>
        <sz val="11"/>
        <color rgb="FF000000"/>
        <rFont val="Calibri"/>
        <family val="2"/>
        <scheme val="minor"/>
      </rPr>
      <t>DD</t>
    </r>
    <r>
      <rPr>
        <sz val="11"/>
        <color rgb="FF000000"/>
        <rFont val="Calibri"/>
        <family val="2"/>
        <scheme val="minor"/>
      </rPr>
      <t xml:space="preserve"> = developed country, </t>
    </r>
    <r>
      <rPr>
        <b/>
        <sz val="11"/>
        <color rgb="FF000000"/>
        <rFont val="Calibri"/>
        <family val="2"/>
        <scheme val="minor"/>
      </rPr>
      <t>S</t>
    </r>
    <r>
      <rPr>
        <sz val="11"/>
        <color rgb="FF000000"/>
        <rFont val="Calibri"/>
        <family val="2"/>
        <scheme val="minor"/>
      </rPr>
      <t xml:space="preserve"> = Small Island Developing State, </t>
    </r>
    <r>
      <rPr>
        <b/>
        <sz val="11"/>
        <color rgb="FF000000"/>
        <rFont val="Calibri"/>
        <family val="2"/>
        <scheme val="minor"/>
      </rPr>
      <t>C</t>
    </r>
    <r>
      <rPr>
        <sz val="11"/>
        <color rgb="FF000000"/>
        <rFont val="Calibri"/>
        <family val="2"/>
        <scheme val="minor"/>
      </rPr>
      <t xml:space="preserve"> = Coastal State, </t>
    </r>
    <r>
      <rPr>
        <b/>
        <sz val="11"/>
        <color rgb="FF000000"/>
        <rFont val="Calibri"/>
        <family val="2"/>
        <scheme val="minor"/>
      </rPr>
      <t>DW</t>
    </r>
    <r>
      <rPr>
        <sz val="11"/>
        <color rgb="FF000000"/>
        <rFont val="Calibri"/>
        <family val="2"/>
        <scheme val="minor"/>
      </rPr>
      <t xml:space="preserve"> = Distant-Water Fishing Nation</t>
    </r>
  </si>
  <si>
    <t>m. Overcatch</t>
  </si>
  <si>
    <t>n. Limit</t>
  </si>
  <si>
    <t>= l - k</t>
  </si>
  <si>
    <t>= a - j/2 - m/2</t>
  </si>
  <si>
    <t>125% of the overcatch deducted (Res. 19/01; para. 13c)</t>
  </si>
  <si>
    <t>Artisanal fisheries (LoA &lt;24m, only operating in the EEZ)</t>
  </si>
  <si>
    <t>Gear group</t>
  </si>
  <si>
    <t>Non CPCs</t>
  </si>
  <si>
    <t>OTHERS</t>
  </si>
  <si>
    <t>IOTC</t>
  </si>
  <si>
    <t>Best scientific estimates of retained yellowfin tuna catches (all gears combined)</t>
  </si>
  <si>
    <t>FRAT</t>
  </si>
  <si>
    <t>BB</t>
  </si>
  <si>
    <t>Industrial pole-and-liners (LoA &gt; 24m, or operating outside EEZ)</t>
  </si>
  <si>
    <t>Industrial handliners (LoA &gt; 24m, or operating outside EEZ)</t>
  </si>
  <si>
    <t>HL</t>
  </si>
  <si>
    <t xml:space="preserve"> = e-d</t>
  </si>
  <si>
    <t>Totals</t>
  </si>
  <si>
    <t>Allocated catch limits (t)</t>
  </si>
  <si>
    <t>IRN - I.R. Iran</t>
  </si>
  <si>
    <t>Fishery category</t>
  </si>
  <si>
    <t>2026 (estimated)</t>
  </si>
  <si>
    <t>2026 catch limit is estimated assuming catches for 2025 are identical to the limit set for the year</t>
  </si>
  <si>
    <t>EUR</t>
  </si>
  <si>
    <t>EUR: Includes the fishing fleets of France (France, Mayotte, Reunion), Italy, Portugal, Spain</t>
  </si>
  <si>
    <t>19/01
(until 2024)</t>
  </si>
  <si>
    <t>CPCs for which Resolution 19/01 applies</t>
  </si>
  <si>
    <t>Catch (t)</t>
  </si>
  <si>
    <t>Overcatch (t) 19/01</t>
  </si>
  <si>
    <t>BB = surface baitboat fishery</t>
  </si>
  <si>
    <t>HL = surface handline fishery</t>
  </si>
  <si>
    <t>r. Limit</t>
  </si>
  <si>
    <t>s. Catch</t>
  </si>
  <si>
    <t>t. Overcatch</t>
  </si>
  <si>
    <t>u. Limit</t>
  </si>
  <si>
    <t>= p</t>
  </si>
  <si>
    <t>= s - r</t>
  </si>
  <si>
    <t>= a - r/2 - q/2</t>
  </si>
  <si>
    <r>
      <t xml:space="preserve">Annual catch limits 2020-2026 (Resolution 19/01)
</t>
    </r>
    <r>
      <rPr>
        <b/>
        <sz val="12"/>
        <color rgb="FF000000"/>
        <rFont val="Calibri"/>
        <family val="2"/>
        <scheme val="minor"/>
      </rPr>
      <t>Assuming 2025 catches will align with the CPC-specific established catch limits</t>
    </r>
  </si>
  <si>
    <t>Catch (best scientific estimates)</t>
  </si>
  <si>
    <t>Last year (2024)</t>
  </si>
  <si>
    <t>Annual catch limits for 2020-2025 (calculated) and 2026 (estimated)
Resolution 21/01</t>
  </si>
  <si>
    <t>Overcatch (19/01)</t>
  </si>
  <si>
    <t>f. Catch</t>
  </si>
  <si>
    <t>i. Catch</t>
  </si>
  <si>
    <t>l. Catch</t>
  </si>
  <si>
    <t>o. Catch</t>
  </si>
  <si>
    <t>p. Overcatch</t>
  </si>
  <si>
    <t>q. Limit</t>
  </si>
  <si>
    <t>= n</t>
  </si>
  <si>
    <t>= a - m/2 - p/2</t>
  </si>
  <si>
    <t>Res. 19/01</t>
  </si>
  <si>
    <r>
      <t xml:space="preserve">Annual catch limits 2022-2026 
Resolution 21/01
</t>
    </r>
    <r>
      <rPr>
        <b/>
        <sz val="12"/>
        <color rgb="FF000000"/>
        <rFont val="Calibri"/>
        <family val="2"/>
        <scheme val="minor"/>
      </rPr>
      <t>Assuming 2025 catches will align with the CPC-specific established catch limits</t>
    </r>
  </si>
  <si>
    <r>
      <t>2026</t>
    </r>
    <r>
      <rPr>
        <sz val="11"/>
        <color rgb="FF000000"/>
        <rFont val="Calibri"/>
        <family val="2"/>
        <scheme val="minor"/>
      </rPr>
      <t xml:space="preserve"> (estimated)</t>
    </r>
  </si>
  <si>
    <t>Catch data from IOTC best scientific estimates (t)</t>
  </si>
  <si>
    <t>Indicates catch limits lower than base annual limit</t>
  </si>
  <si>
    <t>TWN</t>
  </si>
  <si>
    <t>Taiwan,China</t>
  </si>
  <si>
    <t>CPC / Fleet</t>
  </si>
  <si>
    <t>IDN~</t>
  </si>
  <si>
    <t>~Catches from National Reports (footnote 1 of IOTC Resolution 19/01)</t>
  </si>
  <si>
    <t>Para. 11</t>
  </si>
  <si>
    <t>CPC/Fleet</t>
  </si>
  <si>
    <t>Name</t>
  </si>
  <si>
    <t>Annual catch limits for 2020-2025 (calculated) and 2026 (estimated)
Resolution 19/01</t>
  </si>
  <si>
    <t>Catch limit</t>
  </si>
  <si>
    <t>Based annual limit (t)</t>
  </si>
  <si>
    <t>Catch limits 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</si>
</sst>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-* #,##0_-;\-* #,##0_-;_-* &quot;-&quot;??_-;_-@_-"/>
    <numFmt numFmtId="167" formatCode="_-* #,##0.0_-;\-* #,##0.0_-;_-* &quot;-&quot;??_-;_-@_-"/>
    <numFmt numFmtId="168" formatCode="#,##0_ ;\-#,##0\ "/>
  </numFmts>
  <fonts count="2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u/>
      <sz val="16"/>
      <color rgb="FF0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/>
      <name val="Calibri"/>
      <family val="2"/>
    </font>
    <font>
      <b/>
      <sz val="11"/>
      <color rgb="FF00B050"/>
      <name val="Calibri"/>
      <family val="2"/>
    </font>
    <font>
      <b/>
      <sz val="18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46">
    <xf numFmtId="0" fontId="0" fillId="0" borderId="0" xfId="0"/>
    <xf numFmtId="0" fontId="4" fillId="0" borderId="0" xfId="0" applyFont="1"/>
    <xf numFmtId="0" fontId="0" fillId="2" borderId="1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8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left" vertical="center"/>
    </xf>
    <xf numFmtId="0" fontId="0" fillId="0" borderId="3" xfId="0" applyBorder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left"/>
    </xf>
    <xf numFmtId="0" fontId="0" fillId="0" borderId="28" xfId="0" applyBorder="1" applyAlignment="1">
      <alignment horizontal="center"/>
    </xf>
    <xf numFmtId="165" fontId="0" fillId="5" borderId="0" xfId="0" applyNumberFormat="1" applyFill="1"/>
    <xf numFmtId="166" fontId="0" fillId="5" borderId="0" xfId="1" applyNumberFormat="1" applyFont="1" applyFill="1" applyBorder="1"/>
    <xf numFmtId="165" fontId="0" fillId="5" borderId="0" xfId="2" applyNumberFormat="1" applyFont="1" applyFill="1" applyBorder="1"/>
    <xf numFmtId="0" fontId="0" fillId="0" borderId="14" xfId="0" applyBorder="1"/>
    <xf numFmtId="0" fontId="0" fillId="0" borderId="15" xfId="0" applyBorder="1"/>
    <xf numFmtId="0" fontId="4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" fillId="0" borderId="7" xfId="0" applyFont="1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" xfId="0" applyFill="1" applyBorder="1" applyAlignment="1">
      <alignment horizontal="center"/>
    </xf>
    <xf numFmtId="0" fontId="4" fillId="5" borderId="0" xfId="0" applyFont="1" applyFill="1" applyAlignment="1">
      <alignment horizontal="left" vertical="center"/>
    </xf>
    <xf numFmtId="0" fontId="4" fillId="0" borderId="35" xfId="0" applyFont="1" applyBorder="1"/>
    <xf numFmtId="0" fontId="0" fillId="0" borderId="33" xfId="0" applyBorder="1" applyAlignment="1">
      <alignment horizontal="center"/>
    </xf>
    <xf numFmtId="0" fontId="4" fillId="0" borderId="37" xfId="0" applyFont="1" applyBorder="1"/>
    <xf numFmtId="166" fontId="0" fillId="8" borderId="33" xfId="1" applyNumberFormat="1" applyFont="1" applyFill="1" applyBorder="1"/>
    <xf numFmtId="166" fontId="0" fillId="9" borderId="1" xfId="1" applyNumberFormat="1" applyFont="1" applyFill="1" applyBorder="1"/>
    <xf numFmtId="166" fontId="0" fillId="8" borderId="32" xfId="1" applyNumberFormat="1" applyFont="1" applyFill="1" applyBorder="1"/>
    <xf numFmtId="0" fontId="4" fillId="4" borderId="37" xfId="0" applyFont="1" applyFill="1" applyBorder="1" applyAlignment="1">
      <alignment horizontal="center" vertical="center" wrapText="1"/>
    </xf>
    <xf numFmtId="0" fontId="6" fillId="4" borderId="57" xfId="0" applyFont="1" applyFill="1" applyBorder="1" applyAlignment="1">
      <alignment horizontal="center" vertical="center" wrapText="1"/>
    </xf>
    <xf numFmtId="166" fontId="13" fillId="9" borderId="4" xfId="1" applyNumberFormat="1" applyFont="1" applyFill="1" applyBorder="1" applyAlignment="1">
      <alignment horizontal="center"/>
    </xf>
    <xf numFmtId="166" fontId="0" fillId="7" borderId="45" xfId="1" applyNumberFormat="1" applyFont="1" applyFill="1" applyBorder="1"/>
    <xf numFmtId="166" fontId="0" fillId="7" borderId="48" xfId="1" applyNumberFormat="1" applyFont="1" applyFill="1" applyBorder="1"/>
    <xf numFmtId="166" fontId="0" fillId="10" borderId="1" xfId="1" applyNumberFormat="1" applyFont="1" applyFill="1" applyBorder="1"/>
    <xf numFmtId="166" fontId="0" fillId="8" borderId="1" xfId="1" applyNumberFormat="1" applyFont="1" applyFill="1" applyBorder="1"/>
    <xf numFmtId="166" fontId="0" fillId="6" borderId="5" xfId="1" applyNumberFormat="1" applyFont="1" applyFill="1" applyBorder="1"/>
    <xf numFmtId="0" fontId="4" fillId="4" borderId="38" xfId="0" applyFont="1" applyFill="1" applyBorder="1" applyAlignment="1">
      <alignment horizontal="center"/>
    </xf>
    <xf numFmtId="166" fontId="0" fillId="9" borderId="37" xfId="1" applyNumberFormat="1" applyFont="1" applyFill="1" applyBorder="1"/>
    <xf numFmtId="166" fontId="0" fillId="3" borderId="38" xfId="1" applyNumberFormat="1" applyFont="1" applyFill="1" applyBorder="1"/>
    <xf numFmtId="166" fontId="0" fillId="9" borderId="39" xfId="1" applyNumberFormat="1" applyFont="1" applyFill="1" applyBorder="1"/>
    <xf numFmtId="166" fontId="0" fillId="8" borderId="28" xfId="1" applyNumberFormat="1" applyFont="1" applyFill="1" applyBorder="1"/>
    <xf numFmtId="166" fontId="0" fillId="3" borderId="40" xfId="1" applyNumberFormat="1" applyFont="1" applyFill="1" applyBorder="1"/>
    <xf numFmtId="0" fontId="4" fillId="4" borderId="37" xfId="0" applyFont="1" applyFill="1" applyBorder="1" applyAlignment="1">
      <alignment horizontal="center"/>
    </xf>
    <xf numFmtId="167" fontId="0" fillId="3" borderId="38" xfId="1" applyNumberFormat="1" applyFont="1" applyFill="1" applyBorder="1"/>
    <xf numFmtId="167" fontId="0" fillId="3" borderId="40" xfId="1" applyNumberFormat="1" applyFont="1" applyFill="1" applyBorder="1"/>
    <xf numFmtId="0" fontId="8" fillId="4" borderId="38" xfId="0" applyFont="1" applyFill="1" applyBorder="1" applyAlignment="1">
      <alignment horizontal="center"/>
    </xf>
    <xf numFmtId="0" fontId="8" fillId="4" borderId="59" xfId="0" applyFont="1" applyFill="1" applyBorder="1" applyAlignment="1">
      <alignment horizontal="center"/>
    </xf>
    <xf numFmtId="0" fontId="4" fillId="4" borderId="49" xfId="0" quotePrefix="1" applyFont="1" applyFill="1" applyBorder="1" applyAlignment="1">
      <alignment horizontal="center" vertical="center" wrapText="1"/>
    </xf>
    <xf numFmtId="0" fontId="4" fillId="4" borderId="44" xfId="0" quotePrefix="1" applyFont="1" applyFill="1" applyBorder="1" applyAlignment="1">
      <alignment horizontal="center"/>
    </xf>
    <xf numFmtId="0" fontId="4" fillId="4" borderId="43" xfId="0" quotePrefix="1" applyFont="1" applyFill="1" applyBorder="1" applyAlignment="1">
      <alignment horizontal="center"/>
    </xf>
    <xf numFmtId="0" fontId="4" fillId="4" borderId="61" xfId="0" quotePrefix="1" applyFont="1" applyFill="1" applyBorder="1" applyAlignment="1">
      <alignment horizontal="center"/>
    </xf>
    <xf numFmtId="166" fontId="0" fillId="9" borderId="35" xfId="1" applyNumberFormat="1" applyFont="1" applyFill="1" applyBorder="1"/>
    <xf numFmtId="166" fontId="0" fillId="3" borderId="36" xfId="1" applyNumberFormat="1" applyFont="1" applyFill="1" applyBorder="1"/>
    <xf numFmtId="167" fontId="0" fillId="3" borderId="36" xfId="1" applyNumberFormat="1" applyFont="1" applyFill="1" applyBorder="1"/>
    <xf numFmtId="166" fontId="0" fillId="9" borderId="62" xfId="1" applyNumberFormat="1" applyFont="1" applyFill="1" applyBorder="1"/>
    <xf numFmtId="166" fontId="0" fillId="8" borderId="63" xfId="1" applyNumberFormat="1" applyFont="1" applyFill="1" applyBorder="1"/>
    <xf numFmtId="166" fontId="0" fillId="3" borderId="55" xfId="1" applyNumberFormat="1" applyFont="1" applyFill="1" applyBorder="1"/>
    <xf numFmtId="0" fontId="4" fillId="0" borderId="37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166" fontId="0" fillId="10" borderId="28" xfId="1" applyNumberFormat="1" applyFont="1" applyFill="1" applyBorder="1"/>
    <xf numFmtId="0" fontId="4" fillId="0" borderId="35" xfId="0" applyFont="1" applyBorder="1" applyAlignment="1">
      <alignment horizontal="left"/>
    </xf>
    <xf numFmtId="166" fontId="0" fillId="10" borderId="33" xfId="1" applyNumberFormat="1" applyFont="1" applyFill="1" applyBorder="1"/>
    <xf numFmtId="0" fontId="4" fillId="2" borderId="62" xfId="0" applyFont="1" applyFill="1" applyBorder="1" applyAlignment="1">
      <alignment horizontal="left"/>
    </xf>
    <xf numFmtId="166" fontId="0" fillId="10" borderId="63" xfId="1" applyNumberFormat="1" applyFont="1" applyFill="1" applyBorder="1"/>
    <xf numFmtId="166" fontId="0" fillId="9" borderId="33" xfId="1" applyNumberFormat="1" applyFont="1" applyFill="1" applyBorder="1"/>
    <xf numFmtId="166" fontId="0" fillId="9" borderId="28" xfId="1" applyNumberFormat="1" applyFont="1" applyFill="1" applyBorder="1"/>
    <xf numFmtId="166" fontId="0" fillId="9" borderId="63" xfId="1" applyNumberFormat="1" applyFont="1" applyFill="1" applyBorder="1"/>
    <xf numFmtId="166" fontId="0" fillId="6" borderId="32" xfId="1" applyNumberFormat="1" applyFont="1" applyFill="1" applyBorder="1"/>
    <xf numFmtId="166" fontId="0" fillId="6" borderId="47" xfId="1" applyNumberFormat="1" applyFont="1" applyFill="1" applyBorder="1"/>
    <xf numFmtId="166" fontId="0" fillId="6" borderId="65" xfId="1" applyNumberFormat="1" applyFont="1" applyFill="1" applyBorder="1"/>
    <xf numFmtId="166" fontId="0" fillId="11" borderId="1" xfId="1" applyNumberFormat="1" applyFont="1" applyFill="1" applyBorder="1"/>
    <xf numFmtId="166" fontId="0" fillId="10" borderId="36" xfId="1" applyNumberFormat="1" applyFont="1" applyFill="1" applyBorder="1"/>
    <xf numFmtId="166" fontId="0" fillId="10" borderId="38" xfId="1" applyNumberFormat="1" applyFont="1" applyFill="1" applyBorder="1"/>
    <xf numFmtId="166" fontId="0" fillId="10" borderId="40" xfId="1" applyNumberFormat="1" applyFont="1" applyFill="1" applyBorder="1"/>
    <xf numFmtId="166" fontId="13" fillId="11" borderId="33" xfId="1" applyNumberFormat="1" applyFont="1" applyFill="1" applyBorder="1"/>
    <xf numFmtId="166" fontId="13" fillId="11" borderId="1" xfId="1" applyNumberFormat="1" applyFont="1" applyFill="1" applyBorder="1"/>
    <xf numFmtId="166" fontId="0" fillId="11" borderId="33" xfId="1" applyNumberFormat="1" applyFont="1" applyFill="1" applyBorder="1"/>
    <xf numFmtId="166" fontId="0" fillId="11" borderId="28" xfId="1" applyNumberFormat="1" applyFont="1" applyFill="1" applyBorder="1"/>
    <xf numFmtId="0" fontId="0" fillId="0" borderId="5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9" xfId="0" applyBorder="1" applyAlignment="1">
      <alignment horizontal="center"/>
    </xf>
    <xf numFmtId="166" fontId="0" fillId="8" borderId="5" xfId="1" applyNumberFormat="1" applyFont="1" applyFill="1" applyBorder="1"/>
    <xf numFmtId="166" fontId="0" fillId="8" borderId="47" xfId="1" applyNumberFormat="1" applyFont="1" applyFill="1" applyBorder="1"/>
    <xf numFmtId="166" fontId="0" fillId="10" borderId="4" xfId="1" applyNumberFormat="1" applyFont="1" applyFill="1" applyBorder="1"/>
    <xf numFmtId="166" fontId="0" fillId="10" borderId="29" xfId="1" applyNumberFormat="1" applyFont="1" applyFill="1" applyBorder="1"/>
    <xf numFmtId="166" fontId="0" fillId="11" borderId="37" xfId="1" applyNumberFormat="1" applyFont="1" applyFill="1" applyBorder="1"/>
    <xf numFmtId="166" fontId="0" fillId="11" borderId="38" xfId="1" applyNumberFormat="1" applyFont="1" applyFill="1" applyBorder="1"/>
    <xf numFmtId="166" fontId="0" fillId="11" borderId="39" xfId="1" applyNumberFormat="1" applyFont="1" applyFill="1" applyBorder="1"/>
    <xf numFmtId="166" fontId="0" fillId="11" borderId="40" xfId="1" applyNumberFormat="1" applyFont="1" applyFill="1" applyBorder="1"/>
    <xf numFmtId="0" fontId="4" fillId="4" borderId="57" xfId="0" applyFont="1" applyFill="1" applyBorder="1" applyAlignment="1">
      <alignment horizontal="center"/>
    </xf>
    <xf numFmtId="166" fontId="0" fillId="6" borderId="59" xfId="1" applyNumberFormat="1" applyFont="1" applyFill="1" applyBorder="1"/>
    <xf numFmtId="166" fontId="0" fillId="6" borderId="60" xfId="1" applyNumberFormat="1" applyFont="1" applyFill="1" applyBorder="1"/>
    <xf numFmtId="0" fontId="4" fillId="4" borderId="4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44" xfId="0" applyFon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5" xfId="0" applyBorder="1" applyAlignment="1">
      <alignment horizontal="center"/>
    </xf>
    <xf numFmtId="166" fontId="0" fillId="11" borderId="35" xfId="1" applyNumberFormat="1" applyFont="1" applyFill="1" applyBorder="1"/>
    <xf numFmtId="166" fontId="0" fillId="11" borderId="36" xfId="1" applyNumberFormat="1" applyFont="1" applyFill="1" applyBorder="1"/>
    <xf numFmtId="166" fontId="0" fillId="10" borderId="34" xfId="1" applyNumberFormat="1" applyFont="1" applyFill="1" applyBorder="1"/>
    <xf numFmtId="166" fontId="0" fillId="6" borderId="57" xfId="1" applyNumberFormat="1" applyFont="1" applyFill="1" applyBorder="1"/>
    <xf numFmtId="0" fontId="0" fillId="2" borderId="65" xfId="0" applyFill="1" applyBorder="1" applyAlignment="1">
      <alignment horizontal="center"/>
    </xf>
    <xf numFmtId="0" fontId="0" fillId="0" borderId="62" xfId="0" applyBorder="1" applyAlignment="1">
      <alignment horizontal="center"/>
    </xf>
    <xf numFmtId="166" fontId="0" fillId="10" borderId="66" xfId="1" applyNumberFormat="1" applyFont="1" applyFill="1" applyBorder="1"/>
    <xf numFmtId="166" fontId="0" fillId="8" borderId="65" xfId="1" applyNumberFormat="1" applyFont="1" applyFill="1" applyBorder="1"/>
    <xf numFmtId="166" fontId="0" fillId="6" borderId="46" xfId="1" applyNumberFormat="1" applyFont="1" applyFill="1" applyBorder="1"/>
    <xf numFmtId="165" fontId="0" fillId="0" borderId="3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47" xfId="0" applyNumberFormat="1" applyBorder="1" applyAlignment="1">
      <alignment horizontal="center"/>
    </xf>
    <xf numFmtId="165" fontId="0" fillId="0" borderId="5" xfId="2" applyNumberFormat="1" applyFont="1" applyFill="1" applyBorder="1" applyAlignment="1">
      <alignment horizontal="center"/>
    </xf>
    <xf numFmtId="165" fontId="0" fillId="0" borderId="65" xfId="0" applyNumberFormat="1" applyBorder="1" applyAlignment="1">
      <alignment horizontal="center"/>
    </xf>
    <xf numFmtId="166" fontId="19" fillId="8" borderId="1" xfId="1" applyNumberFormat="1" applyFont="1" applyFill="1" applyBorder="1"/>
    <xf numFmtId="166" fontId="19" fillId="8" borderId="28" xfId="1" applyNumberFormat="1" applyFont="1" applyFill="1" applyBorder="1"/>
    <xf numFmtId="0" fontId="4" fillId="12" borderId="1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4" borderId="50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6" fontId="13" fillId="11" borderId="37" xfId="1" applyNumberFormat="1" applyFont="1" applyFill="1" applyBorder="1"/>
    <xf numFmtId="166" fontId="13" fillId="11" borderId="35" xfId="1" applyNumberFormat="1" applyFont="1" applyFill="1" applyBorder="1"/>
    <xf numFmtId="166" fontId="2" fillId="6" borderId="37" xfId="1" applyNumberFormat="1" applyFont="1" applyFill="1" applyBorder="1" applyAlignment="1">
      <alignment horizontal="center" vertical="center" wrapText="1"/>
    </xf>
    <xf numFmtId="166" fontId="2" fillId="6" borderId="1" xfId="1" applyNumberFormat="1" applyFont="1" applyFill="1" applyBorder="1" applyAlignment="1">
      <alignment horizontal="center" vertical="center" wrapText="1"/>
    </xf>
    <xf numFmtId="166" fontId="13" fillId="9" borderId="37" xfId="1" applyNumberFormat="1" applyFont="1" applyFill="1" applyBorder="1"/>
    <xf numFmtId="166" fontId="13" fillId="9" borderId="39" xfId="1" applyNumberFormat="1" applyFont="1" applyFill="1" applyBorder="1"/>
    <xf numFmtId="166" fontId="13" fillId="9" borderId="37" xfId="1" applyNumberFormat="1" applyFont="1" applyFill="1" applyBorder="1" applyAlignment="1">
      <alignment horizontal="center"/>
    </xf>
    <xf numFmtId="166" fontId="13" fillId="11" borderId="37" xfId="1" applyNumberFormat="1" applyFont="1" applyFill="1" applyBorder="1" applyAlignment="1">
      <alignment horizontal="center"/>
    </xf>
    <xf numFmtId="166" fontId="0" fillId="10" borderId="59" xfId="1" applyNumberFormat="1" applyFont="1" applyFill="1" applyBorder="1" applyAlignment="1">
      <alignment horizontal="center" vertical="center" wrapText="1"/>
    </xf>
    <xf numFmtId="0" fontId="4" fillId="0" borderId="45" xfId="0" applyFont="1" applyBorder="1"/>
    <xf numFmtId="0" fontId="0" fillId="0" borderId="44" xfId="0" applyBorder="1" applyAlignment="1">
      <alignment horizontal="center" vertical="center"/>
    </xf>
    <xf numFmtId="166" fontId="0" fillId="10" borderId="48" xfId="1" applyNumberFormat="1" applyFont="1" applyFill="1" applyBorder="1"/>
    <xf numFmtId="0" fontId="0" fillId="0" borderId="36" xfId="0" applyBorder="1" applyAlignment="1">
      <alignment horizontal="center"/>
    </xf>
    <xf numFmtId="0" fontId="0" fillId="0" borderId="38" xfId="0" applyBorder="1" applyAlignment="1">
      <alignment horizontal="center"/>
    </xf>
    <xf numFmtId="166" fontId="0" fillId="7" borderId="37" xfId="1" applyNumberFormat="1" applyFont="1" applyFill="1" applyBorder="1"/>
    <xf numFmtId="166" fontId="0" fillId="7" borderId="38" xfId="1" applyNumberFormat="1" applyFont="1" applyFill="1" applyBorder="1"/>
    <xf numFmtId="166" fontId="0" fillId="7" borderId="39" xfId="1" applyNumberFormat="1" applyFont="1" applyFill="1" applyBorder="1"/>
    <xf numFmtId="166" fontId="0" fillId="7" borderId="40" xfId="1" applyNumberFormat="1" applyFont="1" applyFill="1" applyBorder="1"/>
    <xf numFmtId="167" fontId="19" fillId="3" borderId="38" xfId="1" applyNumberFormat="1" applyFont="1" applyFill="1" applyBorder="1"/>
    <xf numFmtId="167" fontId="19" fillId="3" borderId="40" xfId="1" applyNumberFormat="1" applyFont="1" applyFill="1" applyBorder="1"/>
    <xf numFmtId="0" fontId="8" fillId="4" borderId="8" xfId="0" applyFont="1" applyFill="1" applyBorder="1" applyAlignment="1">
      <alignment horizontal="center" vertical="center" wrapText="1"/>
    </xf>
    <xf numFmtId="0" fontId="18" fillId="4" borderId="61" xfId="0" applyFont="1" applyFill="1" applyBorder="1" applyAlignment="1">
      <alignment horizontal="center" vertical="center" wrapText="1"/>
    </xf>
    <xf numFmtId="0" fontId="18" fillId="4" borderId="54" xfId="0" quotePrefix="1" applyFont="1" applyFill="1" applyBorder="1" applyAlignment="1">
      <alignment horizontal="center" vertical="center" wrapText="1"/>
    </xf>
    <xf numFmtId="166" fontId="13" fillId="9" borderId="29" xfId="1" applyNumberFormat="1" applyFont="1" applyFill="1" applyBorder="1" applyAlignment="1">
      <alignment horizontal="center"/>
    </xf>
    <xf numFmtId="0" fontId="0" fillId="2" borderId="63" xfId="0" applyFill="1" applyBorder="1" applyAlignment="1">
      <alignment horizontal="center"/>
    </xf>
    <xf numFmtId="0" fontId="4" fillId="0" borderId="0" xfId="0" applyFont="1" applyAlignment="1">
      <alignment horizontal="left"/>
    </xf>
    <xf numFmtId="0" fontId="0" fillId="12" borderId="1" xfId="0" applyFill="1" applyBorder="1"/>
    <xf numFmtId="0" fontId="4" fillId="4" borderId="44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8" xfId="0" applyBorder="1"/>
    <xf numFmtId="0" fontId="4" fillId="5" borderId="37" xfId="0" applyFont="1" applyFill="1" applyBorder="1"/>
    <xf numFmtId="0" fontId="4" fillId="5" borderId="39" xfId="0" applyFont="1" applyFill="1" applyBorder="1"/>
    <xf numFmtId="0" fontId="0" fillId="5" borderId="40" xfId="0" applyFill="1" applyBorder="1" applyAlignment="1">
      <alignment horizontal="center"/>
    </xf>
    <xf numFmtId="0" fontId="4" fillId="0" borderId="51" xfId="0" applyFont="1" applyBorder="1"/>
    <xf numFmtId="0" fontId="0" fillId="0" borderId="30" xfId="0" applyBorder="1" applyAlignment="1">
      <alignment horizontal="center"/>
    </xf>
    <xf numFmtId="166" fontId="0" fillId="10" borderId="52" xfId="1" applyNumberFormat="1" applyFont="1" applyFill="1" applyBorder="1"/>
    <xf numFmtId="0" fontId="4" fillId="2" borderId="45" xfId="0" applyFont="1" applyFill="1" applyBorder="1"/>
    <xf numFmtId="0" fontId="0" fillId="2" borderId="3" xfId="0" applyFill="1" applyBorder="1" applyAlignment="1">
      <alignment horizontal="center"/>
    </xf>
    <xf numFmtId="0" fontId="4" fillId="2" borderId="37" xfId="0" applyFont="1" applyFill="1" applyBorder="1"/>
    <xf numFmtId="0" fontId="0" fillId="2" borderId="38" xfId="0" applyFill="1" applyBorder="1" applyAlignment="1">
      <alignment horizontal="center"/>
    </xf>
    <xf numFmtId="166" fontId="13" fillId="2" borderId="37" xfId="1" applyNumberFormat="1" applyFont="1" applyFill="1" applyBorder="1"/>
    <xf numFmtId="166" fontId="13" fillId="2" borderId="1" xfId="1" applyNumberFormat="1" applyFont="1" applyFill="1" applyBorder="1"/>
    <xf numFmtId="166" fontId="13" fillId="2" borderId="37" xfId="1" applyNumberFormat="1" applyFont="1" applyFill="1" applyBorder="1" applyAlignment="1">
      <alignment horizontal="center"/>
    </xf>
    <xf numFmtId="9" fontId="0" fillId="8" borderId="35" xfId="2" applyFont="1" applyFill="1" applyBorder="1" applyAlignment="1">
      <alignment horizontal="center"/>
    </xf>
    <xf numFmtId="0" fontId="0" fillId="8" borderId="33" xfId="0" applyFill="1" applyBorder="1" applyAlignment="1">
      <alignment horizontal="right"/>
    </xf>
    <xf numFmtId="9" fontId="0" fillId="8" borderId="37" xfId="2" applyFont="1" applyFill="1" applyBorder="1" applyAlignment="1">
      <alignment horizontal="center"/>
    </xf>
    <xf numFmtId="0" fontId="0" fillId="8" borderId="1" xfId="0" applyFill="1" applyBorder="1" applyAlignment="1">
      <alignment horizontal="right"/>
    </xf>
    <xf numFmtId="9" fontId="0" fillId="8" borderId="39" xfId="2" applyFont="1" applyFill="1" applyBorder="1" applyAlignment="1">
      <alignment horizontal="center"/>
    </xf>
    <xf numFmtId="0" fontId="0" fillId="8" borderId="28" xfId="0" applyFill="1" applyBorder="1" applyAlignment="1">
      <alignment horizontal="right"/>
    </xf>
    <xf numFmtId="0" fontId="13" fillId="8" borderId="37" xfId="1" applyNumberFormat="1" applyFont="1" applyFill="1" applyBorder="1" applyAlignment="1">
      <alignment horizontal="center"/>
    </xf>
    <xf numFmtId="0" fontId="13" fillId="8" borderId="37" xfId="0" applyFont="1" applyFill="1" applyBorder="1" applyAlignment="1">
      <alignment horizontal="center"/>
    </xf>
    <xf numFmtId="0" fontId="13" fillId="8" borderId="35" xfId="1" applyNumberFormat="1" applyFont="1" applyFill="1" applyBorder="1" applyAlignment="1">
      <alignment horizontal="center"/>
    </xf>
    <xf numFmtId="0" fontId="13" fillId="8" borderId="39" xfId="1" applyNumberFormat="1" applyFont="1" applyFill="1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166" fontId="0" fillId="6" borderId="37" xfId="1" applyNumberFormat="1" applyFont="1" applyFill="1" applyBorder="1" applyAlignment="1">
      <alignment horizontal="right" vertical="center" wrapText="1"/>
    </xf>
    <xf numFmtId="166" fontId="0" fillId="6" borderId="1" xfId="1" applyNumberFormat="1" applyFont="1" applyFill="1" applyBorder="1" applyAlignment="1">
      <alignment horizontal="right" vertical="center" wrapText="1"/>
    </xf>
    <xf numFmtId="166" fontId="0" fillId="9" borderId="1" xfId="1" applyNumberFormat="1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horizontal="center"/>
    </xf>
    <xf numFmtId="166" fontId="0" fillId="9" borderId="37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41" fontId="0" fillId="0" borderId="0" xfId="0" applyNumberFormat="1"/>
    <xf numFmtId="166" fontId="13" fillId="8" borderId="1" xfId="1" applyNumberFormat="1" applyFont="1" applyFill="1" applyBorder="1"/>
    <xf numFmtId="166" fontId="13" fillId="8" borderId="63" xfId="1" applyNumberFormat="1" applyFont="1" applyFill="1" applyBorder="1"/>
    <xf numFmtId="0" fontId="0" fillId="0" borderId="50" xfId="0" applyBorder="1" applyAlignment="1">
      <alignment horizontal="center" vertical="center"/>
    </xf>
    <xf numFmtId="166" fontId="13" fillId="11" borderId="63" xfId="1" applyNumberFormat="1" applyFont="1" applyFill="1" applyBorder="1"/>
    <xf numFmtId="166" fontId="13" fillId="11" borderId="55" xfId="1" applyNumberFormat="1" applyFont="1" applyFill="1" applyBorder="1"/>
    <xf numFmtId="166" fontId="19" fillId="9" borderId="37" xfId="1" applyNumberFormat="1" applyFont="1" applyFill="1" applyBorder="1"/>
    <xf numFmtId="0" fontId="8" fillId="4" borderId="23" xfId="0" applyFont="1" applyFill="1" applyBorder="1" applyAlignment="1">
      <alignment horizontal="center" vertical="center" wrapText="1"/>
    </xf>
    <xf numFmtId="0" fontId="18" fillId="4" borderId="43" xfId="0" applyFont="1" applyFill="1" applyBorder="1" applyAlignment="1">
      <alignment horizontal="center" vertical="center" wrapText="1"/>
    </xf>
    <xf numFmtId="166" fontId="4" fillId="2" borderId="5" xfId="1" applyNumberFormat="1" applyFont="1" applyFill="1" applyBorder="1" applyAlignment="1"/>
    <xf numFmtId="166" fontId="4" fillId="2" borderId="2" xfId="1" applyNumberFormat="1" applyFont="1" applyFill="1" applyBorder="1" applyAlignment="1"/>
    <xf numFmtId="0" fontId="18" fillId="4" borderId="49" xfId="0" quotePrefix="1" applyFont="1" applyFill="1" applyBorder="1" applyAlignment="1">
      <alignment horizontal="center" vertical="center" wrapText="1"/>
    </xf>
    <xf numFmtId="0" fontId="8" fillId="4" borderId="23" xfId="0" quotePrefix="1" applyFont="1" applyFill="1" applyBorder="1" applyAlignment="1">
      <alignment horizontal="center" vertical="center" wrapText="1"/>
    </xf>
    <xf numFmtId="166" fontId="19" fillId="8" borderId="33" xfId="1" applyNumberFormat="1" applyFont="1" applyFill="1" applyBorder="1"/>
    <xf numFmtId="167" fontId="19" fillId="3" borderId="36" xfId="1" applyNumberFormat="1" applyFont="1" applyFill="1" applyBorder="1"/>
    <xf numFmtId="166" fontId="4" fillId="2" borderId="38" xfId="1" applyNumberFormat="1" applyFont="1" applyFill="1" applyBorder="1" applyAlignment="1">
      <alignment horizontal="center"/>
    </xf>
    <xf numFmtId="166" fontId="0" fillId="8" borderId="77" xfId="1" applyNumberFormat="1" applyFont="1" applyFill="1" applyBorder="1"/>
    <xf numFmtId="166" fontId="0" fillId="8" borderId="16" xfId="1" applyNumberFormat="1" applyFont="1" applyFill="1" applyBorder="1"/>
    <xf numFmtId="166" fontId="19" fillId="9" borderId="34" xfId="1" applyNumberFormat="1" applyFont="1" applyFill="1" applyBorder="1"/>
    <xf numFmtId="166" fontId="13" fillId="9" borderId="1" xfId="1" applyNumberFormat="1" applyFont="1" applyFill="1" applyBorder="1" applyAlignment="1">
      <alignment horizontal="center"/>
    </xf>
    <xf numFmtId="166" fontId="13" fillId="9" borderId="35" xfId="1" applyNumberFormat="1" applyFont="1" applyFill="1" applyBorder="1"/>
    <xf numFmtId="166" fontId="4" fillId="2" borderId="38" xfId="1" applyNumberFormat="1" applyFont="1" applyFill="1" applyBorder="1" applyAlignment="1"/>
    <xf numFmtId="166" fontId="13" fillId="2" borderId="4" xfId="1" applyNumberFormat="1" applyFont="1" applyFill="1" applyBorder="1" applyAlignment="1">
      <alignment horizontal="center"/>
    </xf>
    <xf numFmtId="166" fontId="19" fillId="2" borderId="1" xfId="1" applyNumberFormat="1" applyFont="1" applyFill="1" applyBorder="1" applyAlignment="1">
      <alignment horizontal="center"/>
    </xf>
    <xf numFmtId="166" fontId="19" fillId="2" borderId="38" xfId="1" applyNumberFormat="1" applyFont="1" applyFill="1" applyBorder="1" applyAlignment="1">
      <alignment horizontal="center"/>
    </xf>
    <xf numFmtId="0" fontId="0" fillId="0" borderId="48" xfId="0" applyBorder="1" applyAlignment="1">
      <alignment horizontal="center" vertical="center"/>
    </xf>
    <xf numFmtId="166" fontId="13" fillId="9" borderId="33" xfId="1" applyNumberFormat="1" applyFont="1" applyFill="1" applyBorder="1" applyAlignment="1">
      <alignment horizontal="center"/>
    </xf>
    <xf numFmtId="166" fontId="13" fillId="9" borderId="36" xfId="1" applyNumberFormat="1" applyFont="1" applyFill="1" applyBorder="1" applyAlignment="1">
      <alignment horizontal="center"/>
    </xf>
    <xf numFmtId="166" fontId="13" fillId="9" borderId="38" xfId="1" applyNumberFormat="1" applyFont="1" applyFill="1" applyBorder="1" applyAlignment="1">
      <alignment horizontal="center"/>
    </xf>
    <xf numFmtId="0" fontId="0" fillId="4" borderId="17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0" fillId="4" borderId="57" xfId="0" applyFill="1" applyBorder="1" applyAlignment="1">
      <alignment horizontal="center" vertical="center" wrapText="1"/>
    </xf>
    <xf numFmtId="0" fontId="0" fillId="4" borderId="78" xfId="0" applyFill="1" applyBorder="1" applyAlignment="1">
      <alignment horizontal="center" vertical="center" wrapText="1"/>
    </xf>
    <xf numFmtId="0" fontId="0" fillId="4" borderId="59" xfId="0" applyFill="1" applyBorder="1" applyAlignment="1">
      <alignment horizontal="center" vertical="center" wrapText="1"/>
    </xf>
    <xf numFmtId="166" fontId="2" fillId="6" borderId="2" xfId="1" applyNumberFormat="1" applyFont="1" applyFill="1" applyBorder="1" applyAlignment="1">
      <alignment vertical="center" wrapText="1"/>
    </xf>
    <xf numFmtId="166" fontId="2" fillId="6" borderId="1" xfId="1" applyNumberFormat="1" applyFont="1" applyFill="1" applyBorder="1" applyAlignment="1">
      <alignment vertical="center" wrapText="1"/>
    </xf>
    <xf numFmtId="0" fontId="8" fillId="4" borderId="74" xfId="0" applyFont="1" applyFill="1" applyBorder="1" applyAlignment="1">
      <alignment horizontal="center"/>
    </xf>
    <xf numFmtId="0" fontId="4" fillId="4" borderId="57" xfId="0" applyFont="1" applyFill="1" applyBorder="1" applyAlignment="1">
      <alignment horizontal="center" vertical="center"/>
    </xf>
    <xf numFmtId="0" fontId="4" fillId="4" borderId="40" xfId="0" quotePrefix="1" applyFont="1" applyFill="1" applyBorder="1" applyAlignment="1">
      <alignment horizontal="center"/>
    </xf>
    <xf numFmtId="0" fontId="8" fillId="4" borderId="67" xfId="0" applyFont="1" applyFill="1" applyBorder="1" applyAlignment="1">
      <alignment horizontal="center"/>
    </xf>
    <xf numFmtId="0" fontId="4" fillId="4" borderId="47" xfId="0" quotePrefix="1" applyFont="1" applyFill="1" applyBorder="1" applyAlignment="1">
      <alignment horizontal="center"/>
    </xf>
    <xf numFmtId="0" fontId="0" fillId="0" borderId="26" xfId="0" applyBorder="1"/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66" fontId="17" fillId="0" borderId="0" xfId="1" applyNumberFormat="1" applyFont="1" applyFill="1" applyBorder="1" applyAlignment="1">
      <alignment horizontal="center"/>
    </xf>
    <xf numFmtId="166" fontId="4" fillId="0" borderId="0" xfId="1" applyNumberFormat="1" applyFont="1" applyFill="1" applyBorder="1" applyAlignment="1">
      <alignment horizontal="center"/>
    </xf>
    <xf numFmtId="0" fontId="4" fillId="4" borderId="81" xfId="0" quotePrefix="1" applyFont="1" applyFill="1" applyBorder="1" applyAlignment="1">
      <alignment horizontal="center"/>
    </xf>
    <xf numFmtId="0" fontId="4" fillId="4" borderId="39" xfId="0" quotePrefix="1" applyFont="1" applyFill="1" applyBorder="1" applyAlignment="1">
      <alignment horizontal="center"/>
    </xf>
    <xf numFmtId="166" fontId="0" fillId="9" borderId="51" xfId="1" applyNumberFormat="1" applyFont="1" applyFill="1" applyBorder="1"/>
    <xf numFmtId="166" fontId="0" fillId="8" borderId="30" xfId="1" applyNumberFormat="1" applyFont="1" applyFill="1" applyBorder="1"/>
    <xf numFmtId="166" fontId="17" fillId="0" borderId="25" xfId="1" applyNumberFormat="1" applyFont="1" applyFill="1" applyBorder="1" applyAlignment="1">
      <alignment horizontal="center"/>
    </xf>
    <xf numFmtId="166" fontId="17" fillId="0" borderId="26" xfId="1" applyNumberFormat="1" applyFont="1" applyFill="1" applyBorder="1" applyAlignment="1">
      <alignment horizontal="center"/>
    </xf>
    <xf numFmtId="0" fontId="4" fillId="5" borderId="4" xfId="0" applyFont="1" applyFill="1" applyBorder="1"/>
    <xf numFmtId="0" fontId="4" fillId="2" borderId="4" xfId="0" applyFont="1" applyFill="1" applyBorder="1"/>
    <xf numFmtId="0" fontId="4" fillId="5" borderId="29" xfId="0" applyFont="1" applyFill="1" applyBorder="1"/>
    <xf numFmtId="0" fontId="4" fillId="0" borderId="4" xfId="0" applyFont="1" applyBorder="1"/>
    <xf numFmtId="166" fontId="0" fillId="0" borderId="1" xfId="1" applyNumberFormat="1" applyFont="1" applyBorder="1"/>
    <xf numFmtId="166" fontId="0" fillId="0" borderId="5" xfId="1" applyNumberFormat="1" applyFont="1" applyBorder="1"/>
    <xf numFmtId="166" fontId="0" fillId="0" borderId="28" xfId="1" applyNumberFormat="1" applyFont="1" applyBorder="1"/>
    <xf numFmtId="166" fontId="0" fillId="0" borderId="47" xfId="1" applyNumberFormat="1" applyFont="1" applyBorder="1"/>
    <xf numFmtId="0" fontId="4" fillId="13" borderId="37" xfId="0" applyFont="1" applyFill="1" applyBorder="1"/>
    <xf numFmtId="0" fontId="4" fillId="13" borderId="4" xfId="0" applyFont="1" applyFill="1" applyBorder="1"/>
    <xf numFmtId="0" fontId="0" fillId="13" borderId="22" xfId="0" applyFill="1" applyBorder="1"/>
    <xf numFmtId="0" fontId="4" fillId="5" borderId="45" xfId="0" applyFont="1" applyFill="1" applyBorder="1"/>
    <xf numFmtId="0" fontId="4" fillId="5" borderId="79" xfId="0" applyFont="1" applyFill="1" applyBorder="1"/>
    <xf numFmtId="0" fontId="0" fillId="0" borderId="3" xfId="0" applyBorder="1"/>
    <xf numFmtId="166" fontId="0" fillId="0" borderId="3" xfId="1" applyNumberFormat="1" applyFont="1" applyBorder="1"/>
    <xf numFmtId="166" fontId="0" fillId="0" borderId="82" xfId="1" applyNumberFormat="1" applyFont="1" applyBorder="1"/>
    <xf numFmtId="0" fontId="4" fillId="15" borderId="62" xfId="0" applyFont="1" applyFill="1" applyBorder="1"/>
    <xf numFmtId="0" fontId="4" fillId="15" borderId="66" xfId="0" applyFont="1" applyFill="1" applyBorder="1"/>
    <xf numFmtId="0" fontId="4" fillId="15" borderId="63" xfId="0" applyFont="1" applyFill="1" applyBorder="1"/>
    <xf numFmtId="0" fontId="4" fillId="15" borderId="63" xfId="0" applyFont="1" applyFill="1" applyBorder="1" applyAlignment="1">
      <alignment horizontal="center"/>
    </xf>
    <xf numFmtId="0" fontId="4" fillId="15" borderId="27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0" borderId="39" xfId="0" applyFont="1" applyBorder="1" applyAlignment="1">
      <alignment horizontal="center"/>
    </xf>
    <xf numFmtId="166" fontId="13" fillId="11" borderId="3" xfId="1" applyNumberFormat="1" applyFont="1" applyFill="1" applyBorder="1"/>
    <xf numFmtId="0" fontId="0" fillId="5" borderId="26" xfId="0" applyFill="1" applyBorder="1"/>
    <xf numFmtId="167" fontId="19" fillId="3" borderId="5" xfId="1" applyNumberFormat="1" applyFont="1" applyFill="1" applyBorder="1"/>
    <xf numFmtId="166" fontId="19" fillId="9" borderId="74" xfId="1" applyNumberFormat="1" applyFont="1" applyFill="1" applyBorder="1"/>
    <xf numFmtId="0" fontId="0" fillId="5" borderId="68" xfId="0" applyFill="1" applyBorder="1"/>
    <xf numFmtId="166" fontId="13" fillId="0" borderId="0" xfId="1" applyNumberFormat="1" applyFont="1" applyFill="1" applyBorder="1" applyAlignment="1"/>
    <xf numFmtId="166" fontId="17" fillId="0" borderId="12" xfId="1" applyNumberFormat="1" applyFont="1" applyFill="1" applyBorder="1" applyAlignment="1">
      <alignment horizontal="center"/>
    </xf>
    <xf numFmtId="166" fontId="0" fillId="3" borderId="80" xfId="1" applyNumberFormat="1" applyFont="1" applyFill="1" applyBorder="1"/>
    <xf numFmtId="166" fontId="0" fillId="3" borderId="80" xfId="1" applyNumberFormat="1" applyFont="1" applyFill="1" applyBorder="1" applyAlignment="1">
      <alignment horizontal="center"/>
    </xf>
    <xf numFmtId="0" fontId="21" fillId="0" borderId="84" xfId="0" applyFont="1" applyBorder="1"/>
    <xf numFmtId="0" fontId="0" fillId="5" borderId="85" xfId="0" applyFill="1" applyBorder="1"/>
    <xf numFmtId="166" fontId="0" fillId="3" borderId="65" xfId="1" applyNumberFormat="1" applyFont="1" applyFill="1" applyBorder="1"/>
    <xf numFmtId="0" fontId="4" fillId="4" borderId="86" xfId="0" quotePrefix="1" applyFont="1" applyFill="1" applyBorder="1" applyAlignment="1">
      <alignment horizontal="center"/>
    </xf>
    <xf numFmtId="166" fontId="0" fillId="8" borderId="75" xfId="1" applyNumberFormat="1" applyFont="1" applyFill="1" applyBorder="1"/>
    <xf numFmtId="0" fontId="4" fillId="0" borderId="7" xfId="0" applyFont="1" applyBorder="1" applyAlignment="1">
      <alignment horizontal="left"/>
    </xf>
    <xf numFmtId="166" fontId="0" fillId="0" borderId="0" xfId="0" applyNumberFormat="1"/>
    <xf numFmtId="165" fontId="0" fillId="0" borderId="3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4" fillId="0" borderId="74" xfId="0" applyFont="1" applyBorder="1" applyAlignment="1">
      <alignment horizontal="left"/>
    </xf>
    <xf numFmtId="166" fontId="0" fillId="11" borderId="5" xfId="1" applyNumberFormat="1" applyFont="1" applyFill="1" applyBorder="1"/>
    <xf numFmtId="166" fontId="0" fillId="11" borderId="2" xfId="1" applyNumberFormat="1" applyFont="1" applyFill="1" applyBorder="1"/>
    <xf numFmtId="166" fontId="0" fillId="10" borderId="2" xfId="1" applyNumberFormat="1" applyFont="1" applyFill="1" applyBorder="1"/>
    <xf numFmtId="166" fontId="0" fillId="9" borderId="5" xfId="1" applyNumberFormat="1" applyFont="1" applyFill="1" applyBorder="1"/>
    <xf numFmtId="166" fontId="0" fillId="10" borderId="37" xfId="1" applyNumberFormat="1" applyFont="1" applyFill="1" applyBorder="1"/>
    <xf numFmtId="0" fontId="4" fillId="5" borderId="37" xfId="0" applyFont="1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166" fontId="0" fillId="5" borderId="1" xfId="1" applyNumberFormat="1" applyFont="1" applyFill="1" applyBorder="1"/>
    <xf numFmtId="166" fontId="0" fillId="5" borderId="5" xfId="1" applyNumberFormat="1" applyFont="1" applyFill="1" applyBorder="1"/>
    <xf numFmtId="0" fontId="4" fillId="0" borderId="43" xfId="0" applyFont="1" applyBorder="1" applyAlignment="1">
      <alignment horizontal="center" vertical="center"/>
    </xf>
    <xf numFmtId="166" fontId="0" fillId="0" borderId="54" xfId="1" applyNumberFormat="1" applyFont="1" applyBorder="1"/>
    <xf numFmtId="166" fontId="0" fillId="0" borderId="23" xfId="1" applyNumberFormat="1" applyFont="1" applyBorder="1"/>
    <xf numFmtId="0" fontId="4" fillId="5" borderId="54" xfId="0" applyFont="1" applyFill="1" applyBorder="1"/>
    <xf numFmtId="0" fontId="0" fillId="0" borderId="54" xfId="0" applyBorder="1"/>
    <xf numFmtId="0" fontId="4" fillId="5" borderId="87" xfId="0" applyFont="1" applyFill="1" applyBorder="1"/>
    <xf numFmtId="0" fontId="4" fillId="5" borderId="88" xfId="0" applyFont="1" applyFill="1" applyBorder="1"/>
    <xf numFmtId="166" fontId="0" fillId="0" borderId="89" xfId="1" applyNumberFormat="1" applyFont="1" applyBorder="1"/>
    <xf numFmtId="166" fontId="0" fillId="0" borderId="88" xfId="1" applyNumberFormat="1" applyFont="1" applyBorder="1"/>
    <xf numFmtId="0" fontId="4" fillId="5" borderId="77" xfId="0" applyFont="1" applyFill="1" applyBorder="1"/>
    <xf numFmtId="0" fontId="4" fillId="5" borderId="3" xfId="0" applyFont="1" applyFill="1" applyBorder="1"/>
    <xf numFmtId="166" fontId="0" fillId="0" borderId="1" xfId="1" applyNumberFormat="1" applyFont="1" applyFill="1" applyBorder="1"/>
    <xf numFmtId="166" fontId="0" fillId="0" borderId="5" xfId="1" applyNumberFormat="1" applyFont="1" applyFill="1" applyBorder="1"/>
    <xf numFmtId="0" fontId="4" fillId="5" borderId="37" xfId="0" applyFont="1" applyFill="1" applyBorder="1" applyAlignment="1">
      <alignment horizontal="center"/>
    </xf>
    <xf numFmtId="0" fontId="4" fillId="13" borderId="37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166" fontId="13" fillId="13" borderId="4" xfId="1" applyNumberFormat="1" applyFont="1" applyFill="1" applyBorder="1" applyAlignment="1">
      <alignment horizontal="center"/>
    </xf>
    <xf numFmtId="166" fontId="19" fillId="13" borderId="1" xfId="1" applyNumberFormat="1" applyFont="1" applyFill="1" applyBorder="1" applyAlignment="1">
      <alignment horizontal="center"/>
    </xf>
    <xf numFmtId="166" fontId="0" fillId="11" borderId="3" xfId="1" applyNumberFormat="1" applyFont="1" applyFill="1" applyBorder="1"/>
    <xf numFmtId="0" fontId="4" fillId="4" borderId="28" xfId="0" applyFont="1" applyFill="1" applyBorder="1" applyAlignment="1">
      <alignment horizontal="center"/>
    </xf>
    <xf numFmtId="0" fontId="4" fillId="4" borderId="40" xfId="0" applyFont="1" applyFill="1" applyBorder="1" applyAlignment="1">
      <alignment horizontal="center"/>
    </xf>
    <xf numFmtId="166" fontId="4" fillId="0" borderId="12" xfId="1" applyNumberFormat="1" applyFont="1" applyFill="1" applyBorder="1" applyAlignment="1">
      <alignment horizontal="center"/>
    </xf>
    <xf numFmtId="166" fontId="0" fillId="5" borderId="14" xfId="1" applyNumberFormat="1" applyFont="1" applyFill="1" applyBorder="1"/>
    <xf numFmtId="166" fontId="13" fillId="9" borderId="62" xfId="1" applyNumberFormat="1" applyFont="1" applyFill="1" applyBorder="1"/>
    <xf numFmtId="166" fontId="13" fillId="9" borderId="25" xfId="1" applyNumberFormat="1" applyFont="1" applyFill="1" applyBorder="1"/>
    <xf numFmtId="166" fontId="0" fillId="8" borderId="62" xfId="1" applyNumberFormat="1" applyFont="1" applyFill="1" applyBorder="1"/>
    <xf numFmtId="166" fontId="13" fillId="8" borderId="62" xfId="1" applyNumberFormat="1" applyFont="1" applyFill="1" applyBorder="1"/>
    <xf numFmtId="166" fontId="13" fillId="11" borderId="79" xfId="1" applyNumberFormat="1" applyFont="1" applyFill="1" applyBorder="1" applyAlignment="1">
      <alignment horizontal="right"/>
    </xf>
    <xf numFmtId="166" fontId="13" fillId="10" borderId="57" xfId="1" applyNumberFormat="1" applyFont="1" applyFill="1" applyBorder="1" applyAlignment="1">
      <alignment horizontal="center"/>
    </xf>
    <xf numFmtId="166" fontId="13" fillId="10" borderId="59" xfId="1" applyNumberFormat="1" applyFont="1" applyFill="1" applyBorder="1" applyAlignment="1">
      <alignment horizontal="center"/>
    </xf>
    <xf numFmtId="166" fontId="13" fillId="13" borderId="59" xfId="1" applyNumberFormat="1" applyFont="1" applyFill="1" applyBorder="1" applyAlignment="1">
      <alignment horizontal="center"/>
    </xf>
    <xf numFmtId="166" fontId="13" fillId="2" borderId="59" xfId="1" applyNumberFormat="1" applyFont="1" applyFill="1" applyBorder="1" applyAlignment="1">
      <alignment horizontal="center"/>
    </xf>
    <xf numFmtId="166" fontId="13" fillId="10" borderId="60" xfId="1" applyNumberFormat="1" applyFont="1" applyFill="1" applyBorder="1" applyAlignment="1">
      <alignment horizontal="center"/>
    </xf>
    <xf numFmtId="166" fontId="13" fillId="9" borderId="69" xfId="1" applyNumberFormat="1" applyFont="1" applyFill="1" applyBorder="1" applyAlignment="1">
      <alignment horizontal="center"/>
    </xf>
    <xf numFmtId="166" fontId="13" fillId="11" borderId="74" xfId="1" applyNumberFormat="1" applyFont="1" applyFill="1" applyBorder="1"/>
    <xf numFmtId="166" fontId="13" fillId="11" borderId="5" xfId="1" applyNumberFormat="1" applyFont="1" applyFill="1" applyBorder="1"/>
    <xf numFmtId="166" fontId="13" fillId="11" borderId="4" xfId="1" applyNumberFormat="1" applyFont="1" applyFill="1" applyBorder="1"/>
    <xf numFmtId="43" fontId="17" fillId="0" borderId="0" xfId="1" applyFont="1" applyFill="1" applyBorder="1" applyAlignment="1">
      <alignment horizontal="center"/>
    </xf>
    <xf numFmtId="0" fontId="4" fillId="4" borderId="61" xfId="0" quotePrefix="1" applyFont="1" applyFill="1" applyBorder="1" applyAlignment="1">
      <alignment horizontal="center" wrapText="1"/>
    </xf>
    <xf numFmtId="43" fontId="8" fillId="0" borderId="0" xfId="0" applyNumberFormat="1" applyFont="1" applyAlignment="1">
      <alignment horizontal="center" vertical="center"/>
    </xf>
    <xf numFmtId="0" fontId="0" fillId="5" borderId="1" xfId="0" applyFill="1" applyBorder="1"/>
    <xf numFmtId="0" fontId="0" fillId="13" borderId="1" xfId="0" applyFill="1" applyBorder="1"/>
    <xf numFmtId="0" fontId="4" fillId="0" borderId="1" xfId="0" applyFont="1" applyBorder="1"/>
    <xf numFmtId="168" fontId="0" fillId="14" borderId="1" xfId="1" applyNumberFormat="1" applyFont="1" applyFill="1" applyBorder="1"/>
    <xf numFmtId="168" fontId="4" fillId="14" borderId="1" xfId="0" applyNumberFormat="1" applyFont="1" applyFill="1" applyBorder="1"/>
    <xf numFmtId="168" fontId="0" fillId="10" borderId="1" xfId="1" applyNumberFormat="1" applyFont="1" applyFill="1" applyBorder="1"/>
    <xf numFmtId="168" fontId="4" fillId="10" borderId="1" xfId="0" applyNumberFormat="1" applyFont="1" applyFill="1" applyBorder="1"/>
    <xf numFmtId="0" fontId="0" fillId="4" borderId="1" xfId="0" applyFill="1" applyBorder="1" applyAlignment="1">
      <alignment horizontal="left"/>
    </xf>
    <xf numFmtId="0" fontId="4" fillId="4" borderId="1" xfId="0" applyFont="1" applyFill="1" applyBorder="1"/>
    <xf numFmtId="0" fontId="4" fillId="10" borderId="1" xfId="0" applyFont="1" applyFill="1" applyBorder="1" applyAlignment="1">
      <alignment horizontal="center"/>
    </xf>
    <xf numFmtId="0" fontId="0" fillId="0" borderId="56" xfId="0" applyBorder="1" applyAlignment="1">
      <alignment horizontal="center" vertical="center"/>
    </xf>
    <xf numFmtId="166" fontId="0" fillId="0" borderId="16" xfId="1" applyNumberFormat="1" applyFont="1" applyBorder="1"/>
    <xf numFmtId="1" fontId="0" fillId="0" borderId="0" xfId="0" applyNumberFormat="1"/>
    <xf numFmtId="166" fontId="0" fillId="0" borderId="1" xfId="0" applyNumberFormat="1" applyBorder="1"/>
    <xf numFmtId="166" fontId="0" fillId="0" borderId="22" xfId="1" applyNumberFormat="1" applyFont="1" applyBorder="1"/>
    <xf numFmtId="166" fontId="0" fillId="0" borderId="33" xfId="1" applyNumberFormat="1" applyFont="1" applyBorder="1"/>
    <xf numFmtId="166" fontId="0" fillId="0" borderId="22" xfId="0" applyNumberFormat="1" applyBorder="1"/>
    <xf numFmtId="166" fontId="0" fillId="0" borderId="90" xfId="1" applyNumberFormat="1" applyFont="1" applyBorder="1"/>
    <xf numFmtId="166" fontId="0" fillId="0" borderId="3" xfId="0" applyNumberFormat="1" applyBorder="1"/>
    <xf numFmtId="0" fontId="0" fillId="4" borderId="28" xfId="0" applyFill="1" applyBorder="1" applyAlignment="1">
      <alignment horizontal="center" vertical="center" wrapText="1"/>
    </xf>
    <xf numFmtId="166" fontId="2" fillId="6" borderId="38" xfId="1" applyNumberFormat="1" applyFont="1" applyFill="1" applyBorder="1" applyAlignment="1">
      <alignment vertical="center" wrapText="1"/>
    </xf>
    <xf numFmtId="0" fontId="0" fillId="4" borderId="47" xfId="0" applyFill="1" applyBorder="1" applyAlignment="1">
      <alignment horizontal="center" vertical="center" wrapText="1"/>
    </xf>
    <xf numFmtId="166" fontId="13" fillId="9" borderId="32" xfId="1" applyNumberFormat="1" applyFont="1" applyFill="1" applyBorder="1" applyAlignment="1">
      <alignment horizontal="center"/>
    </xf>
    <xf numFmtId="166" fontId="13" fillId="9" borderId="5" xfId="1" applyNumberFormat="1" applyFont="1" applyFill="1" applyBorder="1" applyAlignment="1">
      <alignment horizontal="center"/>
    </xf>
    <xf numFmtId="166" fontId="13" fillId="9" borderId="2" xfId="1" applyNumberFormat="1" applyFont="1" applyFill="1" applyBorder="1" applyAlignment="1">
      <alignment horizontal="center"/>
    </xf>
    <xf numFmtId="166" fontId="13" fillId="9" borderId="28" xfId="1" applyNumberFormat="1" applyFont="1" applyFill="1" applyBorder="1" applyAlignment="1">
      <alignment horizontal="center"/>
    </xf>
    <xf numFmtId="166" fontId="13" fillId="0" borderId="1" xfId="1" applyNumberFormat="1" applyFont="1" applyFill="1" applyBorder="1" applyAlignment="1">
      <alignment horizontal="right"/>
    </xf>
    <xf numFmtId="166" fontId="0" fillId="0" borderId="74" xfId="1" applyNumberFormat="1" applyFont="1" applyFill="1" applyBorder="1" applyAlignment="1">
      <alignment horizontal="right" vertical="center"/>
    </xf>
    <xf numFmtId="166" fontId="0" fillId="0" borderId="1" xfId="1" applyNumberFormat="1" applyFont="1" applyFill="1" applyBorder="1" applyAlignment="1">
      <alignment horizontal="right" vertical="center"/>
    </xf>
    <xf numFmtId="166" fontId="0" fillId="0" borderId="4" xfId="1" applyNumberFormat="1" applyFont="1" applyFill="1" applyBorder="1" applyAlignment="1">
      <alignment horizontal="right" vertical="center"/>
    </xf>
    <xf numFmtId="0" fontId="0" fillId="4" borderId="61" xfId="0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4" borderId="60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166" fontId="0" fillId="10" borderId="78" xfId="1" applyNumberFormat="1" applyFont="1" applyFill="1" applyBorder="1" applyAlignment="1">
      <alignment horizontal="center" vertical="center" wrapText="1"/>
    </xf>
    <xf numFmtId="166" fontId="2" fillId="6" borderId="45" xfId="1" applyNumberFormat="1" applyFont="1" applyFill="1" applyBorder="1" applyAlignment="1">
      <alignment horizontal="center" vertical="center" wrapText="1"/>
    </xf>
    <xf numFmtId="166" fontId="2" fillId="6" borderId="3" xfId="1" applyNumberFormat="1" applyFont="1" applyFill="1" applyBorder="1" applyAlignment="1">
      <alignment vertical="center" wrapText="1"/>
    </xf>
    <xf numFmtId="166" fontId="2" fillId="6" borderId="3" xfId="1" applyNumberFormat="1" applyFont="1" applyFill="1" applyBorder="1" applyAlignment="1">
      <alignment horizontal="center" vertical="center" wrapText="1"/>
    </xf>
    <xf numFmtId="166" fontId="2" fillId="6" borderId="7" xfId="1" applyNumberFormat="1" applyFont="1" applyFill="1" applyBorder="1" applyAlignment="1">
      <alignment vertical="center" wrapText="1"/>
    </xf>
    <xf numFmtId="166" fontId="2" fillId="9" borderId="77" xfId="1" applyNumberFormat="1" applyFont="1" applyFill="1" applyBorder="1" applyAlignment="1">
      <alignment horizontal="center" vertical="center" wrapText="1"/>
    </xf>
    <xf numFmtId="166" fontId="2" fillId="9" borderId="3" xfId="1" applyNumberFormat="1" applyFont="1" applyFill="1" applyBorder="1" applyAlignment="1">
      <alignment horizontal="center" vertical="center" wrapText="1"/>
    </xf>
    <xf numFmtId="166" fontId="2" fillId="9" borderId="79" xfId="1" applyNumberFormat="1" applyFont="1" applyFill="1" applyBorder="1" applyAlignment="1">
      <alignment horizontal="center" vertical="center" wrapText="1"/>
    </xf>
    <xf numFmtId="166" fontId="2" fillId="9" borderId="82" xfId="1" applyNumberFormat="1" applyFont="1" applyFill="1" applyBorder="1" applyAlignment="1">
      <alignment horizontal="center" vertical="center" wrapText="1"/>
    </xf>
    <xf numFmtId="166" fontId="13" fillId="11" borderId="28" xfId="1" applyNumberFormat="1" applyFont="1" applyFill="1" applyBorder="1" applyAlignment="1">
      <alignment horizontal="right"/>
    </xf>
    <xf numFmtId="0" fontId="0" fillId="4" borderId="55" xfId="0" applyFill="1" applyBorder="1" applyAlignment="1">
      <alignment horizontal="center" vertical="center" wrapText="1"/>
    </xf>
    <xf numFmtId="166" fontId="0" fillId="0" borderId="3" xfId="1" applyNumberFormat="1" applyFont="1" applyFill="1" applyBorder="1" applyAlignment="1">
      <alignment horizontal="right" vertical="center"/>
    </xf>
    <xf numFmtId="0" fontId="4" fillId="2" borderId="62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166" fontId="13" fillId="0" borderId="63" xfId="1" applyNumberFormat="1" applyFont="1" applyFill="1" applyBorder="1" applyAlignment="1">
      <alignment horizontal="right"/>
    </xf>
    <xf numFmtId="0" fontId="0" fillId="4" borderId="62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66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166" fontId="2" fillId="9" borderId="36" xfId="1" applyNumberFormat="1" applyFont="1" applyFill="1" applyBorder="1" applyAlignment="1">
      <alignment horizontal="center" vertical="center" wrapText="1"/>
    </xf>
    <xf numFmtId="166" fontId="2" fillId="9" borderId="57" xfId="1" applyNumberFormat="1" applyFont="1" applyFill="1" applyBorder="1" applyAlignment="1">
      <alignment horizontal="center" vertical="center" wrapText="1"/>
    </xf>
    <xf numFmtId="166" fontId="0" fillId="0" borderId="33" xfId="1" applyNumberFormat="1" applyFont="1" applyFill="1" applyBorder="1" applyAlignment="1">
      <alignment horizontal="right" vertical="center"/>
    </xf>
    <xf numFmtId="166" fontId="0" fillId="9" borderId="30" xfId="1" applyNumberFormat="1" applyFont="1" applyFill="1" applyBorder="1" applyAlignment="1">
      <alignment horizontal="right" vertical="center" wrapText="1"/>
    </xf>
    <xf numFmtId="166" fontId="0" fillId="0" borderId="35" xfId="1" applyNumberFormat="1" applyFont="1" applyFill="1" applyBorder="1" applyAlignment="1">
      <alignment horizontal="right" vertical="center"/>
    </xf>
    <xf numFmtId="166" fontId="0" fillId="0" borderId="45" xfId="1" applyNumberFormat="1" applyFont="1" applyFill="1" applyBorder="1" applyAlignment="1">
      <alignment horizontal="right" vertical="center"/>
    </xf>
    <xf numFmtId="166" fontId="2" fillId="0" borderId="3" xfId="1" applyNumberFormat="1" applyFont="1" applyFill="1" applyBorder="1" applyAlignment="1">
      <alignment horizontal="right" vertical="center"/>
    </xf>
    <xf numFmtId="166" fontId="0" fillId="0" borderId="43" xfId="1" applyNumberFormat="1" applyFont="1" applyFill="1" applyBorder="1" applyAlignment="1">
      <alignment horizontal="right" vertical="center"/>
    </xf>
    <xf numFmtId="166" fontId="0" fillId="0" borderId="22" xfId="1" applyNumberFormat="1" applyFont="1" applyFill="1" applyBorder="1" applyAlignment="1">
      <alignment horizontal="right" vertical="center"/>
    </xf>
    <xf numFmtId="166" fontId="0" fillId="0" borderId="28" xfId="1" applyNumberFormat="1" applyFont="1" applyFill="1" applyBorder="1" applyAlignment="1">
      <alignment horizontal="right" vertical="center"/>
    </xf>
    <xf numFmtId="166" fontId="2" fillId="0" borderId="28" xfId="1" applyNumberFormat="1" applyFont="1" applyFill="1" applyBorder="1" applyAlignment="1">
      <alignment horizontal="right" vertical="center"/>
    </xf>
    <xf numFmtId="166" fontId="2" fillId="0" borderId="9" xfId="1" applyNumberFormat="1" applyFont="1" applyFill="1" applyBorder="1" applyAlignment="1">
      <alignment horizontal="right" vertical="center"/>
    </xf>
    <xf numFmtId="166" fontId="13" fillId="0" borderId="35" xfId="1" applyNumberFormat="1" applyFont="1" applyFill="1" applyBorder="1" applyAlignment="1">
      <alignment horizontal="right" vertical="center"/>
    </xf>
    <xf numFmtId="166" fontId="13" fillId="0" borderId="33" xfId="1" applyNumberFormat="1" applyFont="1" applyFill="1" applyBorder="1" applyAlignment="1">
      <alignment horizontal="right" vertical="center"/>
    </xf>
    <xf numFmtId="166" fontId="13" fillId="0" borderId="36" xfId="1" applyNumberFormat="1" applyFont="1" applyFill="1" applyBorder="1" applyAlignment="1">
      <alignment horizontal="right" vertical="center"/>
    </xf>
    <xf numFmtId="166" fontId="13" fillId="0" borderId="1" xfId="1" applyNumberFormat="1" applyFont="1" applyFill="1" applyBorder="1" applyAlignment="1">
      <alignment horizontal="right" vertical="center"/>
    </xf>
    <xf numFmtId="166" fontId="13" fillId="0" borderId="3" xfId="1" applyNumberFormat="1" applyFont="1" applyFill="1" applyBorder="1" applyAlignment="1">
      <alignment horizontal="right" vertical="center"/>
    </xf>
    <xf numFmtId="166" fontId="13" fillId="0" borderId="4" xfId="1" applyNumberFormat="1" applyFont="1" applyFill="1" applyBorder="1" applyAlignment="1">
      <alignment horizontal="right" vertical="center"/>
    </xf>
    <xf numFmtId="166" fontId="13" fillId="0" borderId="28" xfId="1" applyNumberFormat="1" applyFont="1" applyFill="1" applyBorder="1" applyAlignment="1">
      <alignment horizontal="right" vertical="center"/>
    </xf>
    <xf numFmtId="166" fontId="13" fillId="0" borderId="29" xfId="1" applyNumberFormat="1" applyFont="1" applyFill="1" applyBorder="1" applyAlignment="1">
      <alignment horizontal="right" vertical="center"/>
    </xf>
    <xf numFmtId="166" fontId="1" fillId="0" borderId="45" xfId="1" applyNumberFormat="1" applyFont="1" applyFill="1" applyBorder="1" applyAlignment="1">
      <alignment horizontal="right" vertical="center"/>
    </xf>
    <xf numFmtId="166" fontId="1" fillId="0" borderId="3" xfId="1" applyNumberFormat="1" applyFont="1" applyFill="1" applyBorder="1" applyAlignment="1">
      <alignment horizontal="right" vertical="center"/>
    </xf>
    <xf numFmtId="166" fontId="13" fillId="0" borderId="7" xfId="1" applyNumberFormat="1" applyFont="1" applyFill="1" applyBorder="1" applyAlignment="1">
      <alignment horizontal="right" vertical="center"/>
    </xf>
    <xf numFmtId="166" fontId="1" fillId="0" borderId="37" xfId="1" applyNumberFormat="1" applyFont="1" applyFill="1" applyBorder="1" applyAlignment="1">
      <alignment horizontal="right" vertical="center"/>
    </xf>
    <xf numFmtId="166" fontId="1" fillId="0" borderId="1" xfId="1" applyNumberFormat="1" applyFont="1" applyFill="1" applyBorder="1" applyAlignment="1">
      <alignment horizontal="right" vertical="center"/>
    </xf>
    <xf numFmtId="166" fontId="13" fillId="0" borderId="2" xfId="1" applyNumberFormat="1" applyFont="1" applyFill="1" applyBorder="1" applyAlignment="1">
      <alignment horizontal="right" vertical="center"/>
    </xf>
    <xf numFmtId="166" fontId="1" fillId="0" borderId="39" xfId="1" applyNumberFormat="1" applyFont="1" applyFill="1" applyBorder="1" applyAlignment="1">
      <alignment horizontal="right" vertical="center"/>
    </xf>
    <xf numFmtId="166" fontId="1" fillId="0" borderId="28" xfId="1" applyNumberFormat="1" applyFont="1" applyFill="1" applyBorder="1" applyAlignment="1">
      <alignment horizontal="right" vertical="center"/>
    </xf>
    <xf numFmtId="166" fontId="13" fillId="0" borderId="28" xfId="1" applyNumberFormat="1" applyFont="1" applyFill="1" applyBorder="1" applyAlignment="1">
      <alignment horizontal="right"/>
    </xf>
    <xf numFmtId="166" fontId="13" fillId="0" borderId="91" xfId="1" applyNumberFormat="1" applyFont="1" applyFill="1" applyBorder="1" applyAlignment="1">
      <alignment horizontal="right" vertical="center"/>
    </xf>
    <xf numFmtId="166" fontId="2" fillId="0" borderId="33" xfId="1" applyNumberFormat="1" applyFont="1" applyFill="1" applyBorder="1" applyAlignment="1">
      <alignment horizontal="right" vertical="center"/>
    </xf>
    <xf numFmtId="166" fontId="2" fillId="0" borderId="36" xfId="1" applyNumberFormat="1" applyFont="1" applyFill="1" applyBorder="1" applyAlignment="1">
      <alignment horizontal="right" vertical="center"/>
    </xf>
    <xf numFmtId="166" fontId="0" fillId="0" borderId="29" xfId="1" applyNumberFormat="1" applyFont="1" applyFill="1" applyBorder="1" applyAlignment="1">
      <alignment horizontal="right" vertical="center"/>
    </xf>
    <xf numFmtId="166" fontId="2" fillId="0" borderId="40" xfId="1" applyNumberFormat="1" applyFont="1" applyFill="1" applyBorder="1" applyAlignment="1">
      <alignment horizontal="right" vertical="center"/>
    </xf>
    <xf numFmtId="166" fontId="0" fillId="0" borderId="48" xfId="1" applyNumberFormat="1" applyFont="1" applyFill="1" applyBorder="1" applyAlignment="1">
      <alignment horizontal="right" vertical="center"/>
    </xf>
    <xf numFmtId="166" fontId="0" fillId="0" borderId="38" xfId="1" applyNumberFormat="1" applyFont="1" applyFill="1" applyBorder="1" applyAlignment="1">
      <alignment horizontal="right" vertical="center"/>
    </xf>
    <xf numFmtId="166" fontId="13" fillId="0" borderId="40" xfId="1" applyNumberFormat="1" applyFont="1" applyFill="1" applyBorder="1" applyAlignment="1">
      <alignment horizontal="right"/>
    </xf>
    <xf numFmtId="166" fontId="0" fillId="0" borderId="5" xfId="1" applyNumberFormat="1" applyFont="1" applyFill="1" applyBorder="1" applyAlignment="1">
      <alignment horizontal="right" vertical="center"/>
    </xf>
    <xf numFmtId="166" fontId="0" fillId="0" borderId="2" xfId="1" applyNumberFormat="1" applyFont="1" applyFill="1" applyBorder="1" applyAlignment="1">
      <alignment horizontal="right" vertical="center"/>
    </xf>
    <xf numFmtId="166" fontId="2" fillId="0" borderId="1" xfId="1" applyNumberFormat="1" applyFont="1" applyFill="1" applyBorder="1" applyAlignment="1">
      <alignment horizontal="right" vertical="center"/>
    </xf>
    <xf numFmtId="166" fontId="2" fillId="0" borderId="4" xfId="1" applyNumberFormat="1" applyFont="1" applyFill="1" applyBorder="1" applyAlignment="1">
      <alignment horizontal="right" vertical="center"/>
    </xf>
    <xf numFmtId="166" fontId="0" fillId="0" borderId="37" xfId="1" applyNumberFormat="1" applyFont="1" applyFill="1" applyBorder="1" applyAlignment="1">
      <alignment horizontal="right" vertical="center"/>
    </xf>
    <xf numFmtId="166" fontId="0" fillId="0" borderId="39" xfId="1" applyNumberFormat="1" applyFont="1" applyFill="1" applyBorder="1" applyAlignment="1">
      <alignment horizontal="right" vertical="center"/>
    </xf>
    <xf numFmtId="166" fontId="2" fillId="9" borderId="37" xfId="1" applyNumberFormat="1" applyFont="1" applyFill="1" applyBorder="1" applyAlignment="1">
      <alignment horizontal="center" vertical="center" wrapText="1"/>
    </xf>
    <xf numFmtId="0" fontId="4" fillId="4" borderId="60" xfId="0" quotePrefix="1" applyFont="1" applyFill="1" applyBorder="1" applyAlignment="1">
      <alignment horizontal="center"/>
    </xf>
    <xf numFmtId="0" fontId="3" fillId="0" borderId="0" xfId="0" applyFont="1"/>
    <xf numFmtId="166" fontId="13" fillId="2" borderId="3" xfId="1" applyNumberFormat="1" applyFont="1" applyFill="1" applyBorder="1"/>
    <xf numFmtId="166" fontId="13" fillId="11" borderId="39" xfId="1" applyNumberFormat="1" applyFont="1" applyFill="1" applyBorder="1" applyAlignment="1">
      <alignment horizontal="right"/>
    </xf>
    <xf numFmtId="166" fontId="19" fillId="2" borderId="1" xfId="1" applyNumberFormat="1" applyFont="1" applyFill="1" applyBorder="1"/>
    <xf numFmtId="166" fontId="2" fillId="2" borderId="2" xfId="1" applyNumberFormat="1" applyFont="1" applyFill="1" applyBorder="1" applyAlignment="1"/>
    <xf numFmtId="166" fontId="2" fillId="2" borderId="38" xfId="1" applyNumberFormat="1" applyFont="1" applyFill="1" applyBorder="1" applyAlignment="1"/>
    <xf numFmtId="166" fontId="13" fillId="9" borderId="45" xfId="1" applyNumberFormat="1" applyFont="1" applyFill="1" applyBorder="1" applyAlignment="1">
      <alignment horizontal="center"/>
    </xf>
    <xf numFmtId="166" fontId="2" fillId="2" borderId="38" xfId="1" applyNumberFormat="1" applyFont="1" applyFill="1" applyBorder="1" applyAlignment="1">
      <alignment horizontal="center"/>
    </xf>
    <xf numFmtId="166" fontId="2" fillId="8" borderId="77" xfId="1" applyNumberFormat="1" applyFont="1" applyFill="1" applyBorder="1"/>
    <xf numFmtId="166" fontId="13" fillId="2" borderId="45" xfId="1" applyNumberFormat="1" applyFont="1" applyFill="1" applyBorder="1" applyAlignment="1">
      <alignment horizontal="center"/>
    </xf>
    <xf numFmtId="167" fontId="19" fillId="2" borderId="38" xfId="1" applyNumberFormat="1" applyFont="1" applyFill="1" applyBorder="1"/>
    <xf numFmtId="166" fontId="19" fillId="8" borderId="4" xfId="1" applyNumberFormat="1" applyFont="1" applyFill="1" applyBorder="1"/>
    <xf numFmtId="166" fontId="19" fillId="2" borderId="4" xfId="1" applyNumberFormat="1" applyFont="1" applyFill="1" applyBorder="1"/>
    <xf numFmtId="166" fontId="19" fillId="9" borderId="35" xfId="1" applyNumberFormat="1" applyFont="1" applyFill="1" applyBorder="1"/>
    <xf numFmtId="166" fontId="19" fillId="9" borderId="45" xfId="1" applyNumberFormat="1" applyFont="1" applyFill="1" applyBorder="1"/>
    <xf numFmtId="166" fontId="19" fillId="9" borderId="17" xfId="1" applyNumberFormat="1" applyFont="1" applyFill="1" applyBorder="1"/>
    <xf numFmtId="166" fontId="19" fillId="9" borderId="49" xfId="1" applyNumberFormat="1" applyFont="1" applyFill="1" applyBorder="1"/>
    <xf numFmtId="166" fontId="19" fillId="9" borderId="43" xfId="1" applyNumberFormat="1" applyFont="1" applyFill="1" applyBorder="1"/>
    <xf numFmtId="166" fontId="19" fillId="9" borderId="86" xfId="1" applyNumberFormat="1" applyFont="1" applyFill="1" applyBorder="1"/>
    <xf numFmtId="166" fontId="19" fillId="2" borderId="49" xfId="1" applyNumberFormat="1" applyFont="1" applyFill="1" applyBorder="1"/>
    <xf numFmtId="166" fontId="19" fillId="2" borderId="45" xfId="1" applyNumberFormat="1" applyFont="1" applyFill="1" applyBorder="1"/>
    <xf numFmtId="166" fontId="19" fillId="9" borderId="79" xfId="1" applyNumberFormat="1" applyFont="1" applyFill="1" applyBorder="1"/>
    <xf numFmtId="167" fontId="19" fillId="2" borderId="38" xfId="1" applyNumberFormat="1" applyFont="1" applyFill="1" applyBorder="1" applyAlignment="1">
      <alignment horizontal="center" vertical="center"/>
    </xf>
    <xf numFmtId="166" fontId="13" fillId="2" borderId="7" xfId="1" applyNumberFormat="1" applyFont="1" applyFill="1" applyBorder="1" applyAlignment="1">
      <alignment horizontal="center"/>
    </xf>
    <xf numFmtId="166" fontId="19" fillId="2" borderId="43" xfId="1" applyNumberFormat="1" applyFont="1" applyFill="1" applyBorder="1"/>
    <xf numFmtId="166" fontId="19" fillId="9" borderId="4" xfId="1" applyNumberFormat="1" applyFont="1" applyFill="1" applyBorder="1"/>
    <xf numFmtId="166" fontId="19" fillId="9" borderId="24" xfId="1" applyNumberFormat="1" applyFont="1" applyFill="1" applyBorder="1"/>
    <xf numFmtId="166" fontId="19" fillId="2" borderId="76" xfId="1" applyNumberFormat="1" applyFont="1" applyFill="1" applyBorder="1"/>
    <xf numFmtId="166" fontId="19" fillId="9" borderId="14" xfId="1" applyNumberFormat="1" applyFont="1" applyFill="1" applyBorder="1"/>
    <xf numFmtId="166" fontId="19" fillId="9" borderId="10" xfId="1" applyNumberFormat="1" applyFont="1" applyFill="1" applyBorder="1"/>
    <xf numFmtId="0" fontId="18" fillId="4" borderId="16" xfId="0" quotePrefix="1" applyFont="1" applyFill="1" applyBorder="1" applyAlignment="1">
      <alignment horizontal="center" vertical="center" wrapText="1"/>
    </xf>
    <xf numFmtId="0" fontId="18" fillId="4" borderId="52" xfId="0" quotePrefix="1" applyFont="1" applyFill="1" applyBorder="1" applyAlignment="1">
      <alignment horizontal="center" vertical="center" wrapText="1"/>
    </xf>
    <xf numFmtId="0" fontId="18" fillId="4" borderId="86" xfId="0" applyFont="1" applyFill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80" xfId="0" quotePrefix="1" applyFont="1" applyFill="1" applyBorder="1" applyAlignment="1">
      <alignment horizontal="center" vertical="center" wrapText="1"/>
    </xf>
    <xf numFmtId="0" fontId="18" fillId="4" borderId="69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/>
    </xf>
    <xf numFmtId="0" fontId="0" fillId="0" borderId="27" xfId="0" applyBorder="1"/>
    <xf numFmtId="0" fontId="9" fillId="4" borderId="57" xfId="0" applyFont="1" applyFill="1" applyBorder="1" applyAlignment="1">
      <alignment horizontal="center" vertical="center"/>
    </xf>
    <xf numFmtId="166" fontId="2" fillId="2" borderId="59" xfId="1" applyNumberFormat="1" applyFont="1" applyFill="1" applyBorder="1" applyAlignment="1"/>
    <xf numFmtId="166" fontId="4" fillId="2" borderId="74" xfId="1" applyNumberFormat="1" applyFont="1" applyFill="1" applyBorder="1" applyAlignment="1"/>
    <xf numFmtId="166" fontId="13" fillId="11" borderId="70" xfId="1" applyNumberFormat="1" applyFont="1" applyFill="1" applyBorder="1" applyAlignment="1">
      <alignment horizontal="right"/>
    </xf>
    <xf numFmtId="166" fontId="13" fillId="11" borderId="18" xfId="1" applyNumberFormat="1" applyFont="1" applyFill="1" applyBorder="1" applyAlignment="1">
      <alignment horizontal="right"/>
    </xf>
    <xf numFmtId="166" fontId="13" fillId="9" borderId="3" xfId="1" applyNumberFormat="1" applyFont="1" applyFill="1" applyBorder="1" applyAlignment="1">
      <alignment horizontal="center"/>
    </xf>
    <xf numFmtId="166" fontId="13" fillId="9" borderId="35" xfId="1" applyNumberFormat="1" applyFont="1" applyFill="1" applyBorder="1" applyAlignment="1">
      <alignment horizontal="center"/>
    </xf>
    <xf numFmtId="166" fontId="13" fillId="9" borderId="6" xfId="1" applyNumberFormat="1" applyFont="1" applyFill="1" applyBorder="1" applyAlignment="1">
      <alignment horizontal="center"/>
    </xf>
    <xf numFmtId="166" fontId="19" fillId="13" borderId="4" xfId="1" applyNumberFormat="1" applyFont="1" applyFill="1" applyBorder="1" applyAlignment="1">
      <alignment horizontal="center"/>
    </xf>
    <xf numFmtId="166" fontId="19" fillId="2" borderId="4" xfId="1" applyNumberFormat="1" applyFont="1" applyFill="1" applyBorder="1" applyAlignment="1">
      <alignment horizontal="center"/>
    </xf>
    <xf numFmtId="166" fontId="13" fillId="9" borderId="10" xfId="1" applyNumberFormat="1" applyFont="1" applyFill="1" applyBorder="1" applyAlignment="1">
      <alignment horizontal="center"/>
    </xf>
    <xf numFmtId="166" fontId="19" fillId="2" borderId="24" xfId="1" applyNumberFormat="1" applyFont="1" applyFill="1" applyBorder="1" applyAlignment="1">
      <alignment horizontal="center"/>
    </xf>
    <xf numFmtId="166" fontId="19" fillId="2" borderId="5" xfId="1" applyNumberFormat="1" applyFont="1" applyFill="1" applyBorder="1" applyAlignment="1">
      <alignment horizontal="center"/>
    </xf>
    <xf numFmtId="166" fontId="13" fillId="9" borderId="42" xfId="1" applyNumberFormat="1" applyFont="1" applyFill="1" applyBorder="1" applyAlignment="1">
      <alignment horizontal="center"/>
    </xf>
    <xf numFmtId="166" fontId="13" fillId="9" borderId="50" xfId="1" applyNumberFormat="1" applyFont="1" applyFill="1" applyBorder="1" applyAlignment="1">
      <alignment horizontal="center"/>
    </xf>
    <xf numFmtId="166" fontId="13" fillId="9" borderId="40" xfId="1" applyNumberFormat="1" applyFont="1" applyFill="1" applyBorder="1" applyAlignment="1">
      <alignment horizontal="center"/>
    </xf>
    <xf numFmtId="166" fontId="13" fillId="9" borderId="23" xfId="1" applyNumberFormat="1" applyFont="1" applyFill="1" applyBorder="1" applyAlignment="1">
      <alignment horizontal="center"/>
    </xf>
    <xf numFmtId="166" fontId="13" fillId="9" borderId="44" xfId="1" applyNumberFormat="1" applyFont="1" applyFill="1" applyBorder="1" applyAlignment="1">
      <alignment horizontal="center"/>
    </xf>
    <xf numFmtId="166" fontId="13" fillId="9" borderId="22" xfId="1" applyNumberFormat="1" applyFont="1" applyFill="1" applyBorder="1" applyAlignment="1">
      <alignment horizontal="center"/>
    </xf>
    <xf numFmtId="166" fontId="19" fillId="13" borderId="2" xfId="1" applyNumberFormat="1" applyFont="1" applyFill="1" applyBorder="1" applyAlignment="1">
      <alignment horizontal="center"/>
    </xf>
    <xf numFmtId="166" fontId="19" fillId="2" borderId="2" xfId="1" applyNumberFormat="1" applyFont="1" applyFill="1" applyBorder="1" applyAlignment="1">
      <alignment horizontal="center"/>
    </xf>
    <xf numFmtId="0" fontId="20" fillId="0" borderId="0" xfId="0" applyFont="1"/>
    <xf numFmtId="0" fontId="4" fillId="0" borderId="51" xfId="0" applyFont="1" applyBorder="1" applyAlignment="1">
      <alignment horizontal="center" vertical="center"/>
    </xf>
    <xf numFmtId="0" fontId="0" fillId="16" borderId="1" xfId="0" applyFill="1" applyBorder="1"/>
    <xf numFmtId="166" fontId="0" fillId="0" borderId="38" xfId="1" applyNumberFormat="1" applyFont="1" applyBorder="1"/>
    <xf numFmtId="166" fontId="0" fillId="0" borderId="0" xfId="1" applyNumberFormat="1" applyFont="1" applyFill="1" applyBorder="1"/>
    <xf numFmtId="1" fontId="0" fillId="0" borderId="0" xfId="1" applyNumberFormat="1" applyFont="1" applyFill="1" applyBorder="1"/>
    <xf numFmtId="0" fontId="0" fillId="0" borderId="8" xfId="0" applyBorder="1" applyAlignment="1">
      <alignment horizontal="center"/>
    </xf>
    <xf numFmtId="0" fontId="0" fillId="0" borderId="43" xfId="0" applyBorder="1" applyAlignment="1">
      <alignment horizontal="center"/>
    </xf>
    <xf numFmtId="165" fontId="0" fillId="0" borderId="8" xfId="2" applyNumberFormat="1" applyFont="1" applyFill="1" applyBorder="1" applyAlignment="1">
      <alignment horizontal="center"/>
    </xf>
    <xf numFmtId="166" fontId="0" fillId="11" borderId="43" xfId="1" applyNumberFormat="1" applyFont="1" applyFill="1" applyBorder="1"/>
    <xf numFmtId="166" fontId="0" fillId="11" borderId="22" xfId="1" applyNumberFormat="1" applyFont="1" applyFill="1" applyBorder="1"/>
    <xf numFmtId="166" fontId="0" fillId="8" borderId="8" xfId="1" applyNumberFormat="1" applyFont="1" applyFill="1" applyBorder="1"/>
    <xf numFmtId="0" fontId="4" fillId="0" borderId="43" xfId="0" applyFont="1" applyBorder="1" applyAlignment="1">
      <alignment horizontal="left"/>
    </xf>
    <xf numFmtId="0" fontId="0" fillId="0" borderId="40" xfId="0" applyBorder="1" applyAlignment="1">
      <alignment horizontal="center"/>
    </xf>
    <xf numFmtId="165" fontId="0" fillId="0" borderId="40" xfId="2" applyNumberFormat="1" applyFont="1" applyFill="1" applyBorder="1" applyAlignment="1">
      <alignment horizontal="center"/>
    </xf>
    <xf numFmtId="166" fontId="0" fillId="11" borderId="52" xfId="1" applyNumberFormat="1" applyFont="1" applyFill="1" applyBorder="1"/>
    <xf numFmtId="166" fontId="0" fillId="10" borderId="10" xfId="1" applyNumberFormat="1" applyFont="1" applyFill="1" applyBorder="1"/>
    <xf numFmtId="166" fontId="0" fillId="10" borderId="39" xfId="1" applyNumberFormat="1" applyFont="1" applyFill="1" applyBorder="1"/>
    <xf numFmtId="166" fontId="0" fillId="9" borderId="22" xfId="1" applyNumberFormat="1" applyFont="1" applyFill="1" applyBorder="1"/>
    <xf numFmtId="166" fontId="0" fillId="6" borderId="54" xfId="1" applyNumberFormat="1" applyFont="1" applyFill="1" applyBorder="1"/>
    <xf numFmtId="166" fontId="0" fillId="6" borderId="8" xfId="1" applyNumberFormat="1" applyFont="1" applyFill="1" applyBorder="1"/>
    <xf numFmtId="166" fontId="0" fillId="8" borderId="22" xfId="1" applyNumberFormat="1" applyFont="1" applyFill="1" applyBorder="1"/>
    <xf numFmtId="166" fontId="0" fillId="3" borderId="44" xfId="1" applyNumberFormat="1" applyFont="1" applyFill="1" applyBorder="1"/>
    <xf numFmtId="0" fontId="0" fillId="0" borderId="22" xfId="0" applyBorder="1" applyAlignment="1">
      <alignment horizontal="center"/>
    </xf>
    <xf numFmtId="166" fontId="0" fillId="10" borderId="22" xfId="1" applyNumberFormat="1" applyFont="1" applyFill="1" applyBorder="1"/>
    <xf numFmtId="165" fontId="0" fillId="5" borderId="12" xfId="2" applyNumberFormat="1" applyFont="1" applyFill="1" applyBorder="1"/>
    <xf numFmtId="166" fontId="0" fillId="5" borderId="26" xfId="1" applyNumberFormat="1" applyFont="1" applyFill="1" applyBorder="1"/>
    <xf numFmtId="0" fontId="0" fillId="0" borderId="82" xfId="0" applyBorder="1" applyAlignment="1">
      <alignment horizontal="center"/>
    </xf>
    <xf numFmtId="166" fontId="0" fillId="10" borderId="68" xfId="1" applyNumberFormat="1" applyFont="1" applyFill="1" applyBorder="1" applyAlignment="1">
      <alignment horizontal="center" vertical="center" wrapText="1"/>
    </xf>
    <xf numFmtId="166" fontId="2" fillId="0" borderId="22" xfId="1" applyNumberFormat="1" applyFont="1" applyFill="1" applyBorder="1" applyAlignment="1">
      <alignment horizontal="right" vertical="center"/>
    </xf>
    <xf numFmtId="166" fontId="0" fillId="6" borderId="49" xfId="1" applyNumberFormat="1" applyFont="1" applyFill="1" applyBorder="1" applyAlignment="1">
      <alignment horizontal="right" vertical="center" wrapText="1"/>
    </xf>
    <xf numFmtId="166" fontId="0" fillId="9" borderId="14" xfId="1" applyNumberFormat="1" applyFont="1" applyFill="1" applyBorder="1" applyAlignment="1">
      <alignment horizontal="right" vertical="center" wrapText="1"/>
    </xf>
    <xf numFmtId="0" fontId="0" fillId="0" borderId="30" xfId="0" applyBorder="1" applyAlignment="1">
      <alignment vertical="center"/>
    </xf>
    <xf numFmtId="166" fontId="0" fillId="10" borderId="60" xfId="1" applyNumberFormat="1" applyFont="1" applyFill="1" applyBorder="1" applyAlignment="1">
      <alignment horizontal="center" vertical="center" wrapText="1"/>
    </xf>
    <xf numFmtId="166" fontId="0" fillId="6" borderId="39" xfId="1" applyNumberFormat="1" applyFont="1" applyFill="1" applyBorder="1" applyAlignment="1">
      <alignment horizontal="right" vertical="center" wrapText="1"/>
    </xf>
    <xf numFmtId="166" fontId="0" fillId="9" borderId="39" xfId="1" applyNumberFormat="1" applyFont="1" applyFill="1" applyBorder="1" applyAlignment="1">
      <alignment horizontal="right" vertical="center" wrapText="1"/>
    </xf>
    <xf numFmtId="16" fontId="4" fillId="0" borderId="68" xfId="0" quotePrefix="1" applyNumberFormat="1" applyFont="1" applyBorder="1" applyAlignment="1">
      <alignment vertical="center" wrapText="1"/>
    </xf>
    <xf numFmtId="16" fontId="4" fillId="0" borderId="54" xfId="0" quotePrefix="1" applyNumberFormat="1" applyFont="1" applyBorder="1" applyAlignment="1">
      <alignment vertical="center" wrapText="1"/>
    </xf>
    <xf numFmtId="166" fontId="19" fillId="9" borderId="1" xfId="1" applyNumberFormat="1" applyFont="1" applyFill="1" applyBorder="1"/>
    <xf numFmtId="166" fontId="19" fillId="9" borderId="83" xfId="1" applyNumberFormat="1" applyFont="1" applyFill="1" applyBorder="1"/>
    <xf numFmtId="166" fontId="19" fillId="2" borderId="24" xfId="1" applyNumberFormat="1" applyFont="1" applyFill="1" applyBorder="1"/>
    <xf numFmtId="166" fontId="19" fillId="2" borderId="37" xfId="1" applyNumberFormat="1" applyFont="1" applyFill="1" applyBorder="1"/>
    <xf numFmtId="166" fontId="0" fillId="8" borderId="66" xfId="1" applyNumberFormat="1" applyFont="1" applyFill="1" applyBorder="1"/>
    <xf numFmtId="166" fontId="0" fillId="9" borderId="46" xfId="1" applyNumberFormat="1" applyFont="1" applyFill="1" applyBorder="1"/>
    <xf numFmtId="166" fontId="0" fillId="5" borderId="12" xfId="1" applyNumberFormat="1" applyFont="1" applyFill="1" applyBorder="1"/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6" fillId="5" borderId="0" xfId="0" applyFont="1" applyFill="1" applyAlignment="1">
      <alignment horizontal="left" vertical="center" wrapText="1"/>
    </xf>
    <xf numFmtId="0" fontId="4" fillId="4" borderId="35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4" fillId="4" borderId="58" xfId="0" applyFont="1" applyFill="1" applyBorder="1" applyAlignment="1">
      <alignment horizontal="center"/>
    </xf>
    <xf numFmtId="0" fontId="4" fillId="4" borderId="3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4" borderId="4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0" fillId="0" borderId="71" xfId="0" applyBorder="1" applyAlignment="1">
      <alignment horizontal="left" vertical="top" wrapText="1"/>
    </xf>
    <xf numFmtId="0" fontId="0" fillId="0" borderId="72" xfId="0" applyBorder="1" applyAlignment="1">
      <alignment horizontal="left" vertical="top" wrapText="1"/>
    </xf>
    <xf numFmtId="0" fontId="0" fillId="0" borderId="73" xfId="0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4" fillId="4" borderId="64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/>
    </xf>
    <xf numFmtId="49" fontId="2" fillId="4" borderId="23" xfId="1" applyNumberFormat="1" applyFont="1" applyFill="1" applyBorder="1" applyAlignment="1">
      <alignment horizontal="center" vertical="center"/>
    </xf>
    <xf numFmtId="49" fontId="2" fillId="4" borderId="0" xfId="1" applyNumberFormat="1" applyFont="1" applyFill="1" applyBorder="1" applyAlignment="1">
      <alignment horizontal="center" vertical="center"/>
    </xf>
    <xf numFmtId="49" fontId="2" fillId="4" borderId="15" xfId="1" applyNumberFormat="1" applyFont="1" applyFill="1" applyBorder="1" applyAlignment="1">
      <alignment horizontal="center" vertical="center"/>
    </xf>
    <xf numFmtId="49" fontId="2" fillId="4" borderId="80" xfId="1" applyNumberFormat="1" applyFont="1" applyFill="1" applyBorder="1" applyAlignment="1">
      <alignment horizontal="center" vertical="center"/>
    </xf>
    <xf numFmtId="49" fontId="2" fillId="4" borderId="17" xfId="1" applyNumberFormat="1" applyFont="1" applyFill="1" applyBorder="1" applyAlignment="1">
      <alignment horizontal="center" vertical="center"/>
    </xf>
    <xf numFmtId="49" fontId="2" fillId="4" borderId="18" xfId="1" applyNumberFormat="1" applyFont="1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 wrapText="1"/>
    </xf>
    <xf numFmtId="0" fontId="0" fillId="4" borderId="54" xfId="0" applyFill="1" applyBorder="1" applyAlignment="1">
      <alignment horizontal="center" vertical="center" wrapText="1"/>
    </xf>
    <xf numFmtId="0" fontId="0" fillId="4" borderId="64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4" borderId="50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 wrapText="1"/>
    </xf>
    <xf numFmtId="0" fontId="0" fillId="4" borderId="49" xfId="0" applyFill="1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 wrapText="1"/>
    </xf>
    <xf numFmtId="0" fontId="0" fillId="4" borderId="83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53" xfId="0" applyFill="1" applyBorder="1" applyAlignment="1">
      <alignment horizontal="center" vertical="center" wrapText="1"/>
    </xf>
    <xf numFmtId="0" fontId="0" fillId="4" borderId="68" xfId="0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166" fontId="2" fillId="4" borderId="23" xfId="1" applyNumberFormat="1" applyFont="1" applyFill="1" applyBorder="1" applyAlignment="1">
      <alignment horizontal="center" vertical="center" wrapText="1"/>
    </xf>
    <xf numFmtId="166" fontId="2" fillId="4" borderId="0" xfId="1" applyNumberFormat="1" applyFont="1" applyFill="1" applyBorder="1" applyAlignment="1">
      <alignment horizontal="center" vertical="center" wrapText="1"/>
    </xf>
    <xf numFmtId="166" fontId="2" fillId="4" borderId="15" xfId="1" applyNumberFormat="1" applyFont="1" applyFill="1" applyBorder="1" applyAlignment="1">
      <alignment horizontal="center" vertical="center" wrapText="1"/>
    </xf>
    <xf numFmtId="166" fontId="2" fillId="4" borderId="80" xfId="1" applyNumberFormat="1" applyFont="1" applyFill="1" applyBorder="1" applyAlignment="1">
      <alignment horizontal="center" vertical="center" wrapText="1"/>
    </xf>
    <xf numFmtId="166" fontId="2" fillId="4" borderId="17" xfId="1" applyNumberFormat="1" applyFont="1" applyFill="1" applyBorder="1" applyAlignment="1">
      <alignment horizontal="center" vertical="center" wrapText="1"/>
    </xf>
    <xf numFmtId="166" fontId="2" fillId="4" borderId="18" xfId="1" applyNumberFormat="1" applyFont="1" applyFill="1" applyBorder="1" applyAlignment="1">
      <alignment horizontal="center" vertical="center" wrapText="1"/>
    </xf>
    <xf numFmtId="0" fontId="0" fillId="4" borderId="56" xfId="0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 wrapText="1"/>
    </xf>
    <xf numFmtId="0" fontId="0" fillId="4" borderId="45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44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80" xfId="0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58" xfId="0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 wrapText="1"/>
    </xf>
    <xf numFmtId="0" fontId="5" fillId="4" borderId="68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5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80" xfId="0" applyFont="1" applyFill="1" applyBorder="1" applyAlignment="1">
      <alignment horizontal="center" vertical="center" wrapText="1"/>
    </xf>
    <xf numFmtId="0" fontId="4" fillId="13" borderId="53" xfId="0" quotePrefix="1" applyFont="1" applyFill="1" applyBorder="1" applyAlignment="1">
      <alignment horizontal="center" vertical="center" wrapText="1"/>
    </xf>
    <xf numFmtId="0" fontId="4" fillId="13" borderId="68" xfId="0" quotePrefix="1" applyFont="1" applyFill="1" applyBorder="1" applyAlignment="1">
      <alignment horizontal="center" vertical="center" wrapText="1"/>
    </xf>
    <xf numFmtId="0" fontId="4" fillId="13" borderId="54" xfId="0" quotePrefix="1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16" fontId="4" fillId="0" borderId="53" xfId="0" quotePrefix="1" applyNumberFormat="1" applyFont="1" applyBorder="1" applyAlignment="1">
      <alignment horizontal="center" vertical="center" wrapText="1"/>
    </xf>
    <xf numFmtId="16" fontId="4" fillId="0" borderId="68" xfId="0" quotePrefix="1" applyNumberFormat="1" applyFont="1" applyBorder="1" applyAlignment="1">
      <alignment horizontal="center" vertical="center" wrapText="1"/>
    </xf>
    <xf numFmtId="16" fontId="4" fillId="0" borderId="78" xfId="0" quotePrefix="1" applyNumberFormat="1" applyFont="1" applyBorder="1" applyAlignment="1">
      <alignment horizontal="center" vertical="center" wrapText="1"/>
    </xf>
    <xf numFmtId="16" fontId="4" fillId="2" borderId="61" xfId="0" quotePrefix="1" applyNumberFormat="1" applyFont="1" applyFill="1" applyBorder="1" applyAlignment="1">
      <alignment horizontal="center" vertical="center" wrapText="1"/>
    </xf>
    <xf numFmtId="16" fontId="4" fillId="2" borderId="68" xfId="0" quotePrefix="1" applyNumberFormat="1" applyFont="1" applyFill="1" applyBorder="1" applyAlignment="1">
      <alignment horizontal="center" vertical="center" wrapText="1"/>
    </xf>
    <xf numFmtId="16" fontId="4" fillId="2" borderId="78" xfId="0" quotePrefix="1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83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4" borderId="24" xfId="0" applyFill="1" applyBorder="1" applyAlignment="1">
      <alignment horizontal="center" vertical="center" wrapText="1"/>
    </xf>
    <xf numFmtId="0" fontId="0" fillId="4" borderId="75" xfId="0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4" fillId="13" borderId="83" xfId="0" applyFont="1" applyFill="1" applyBorder="1" applyAlignment="1">
      <alignment horizontal="center" vertical="center"/>
    </xf>
    <xf numFmtId="0" fontId="4" fillId="13" borderId="49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4" fillId="2" borderId="74" xfId="1" applyNumberFormat="1" applyFont="1" applyFill="1" applyBorder="1" applyAlignment="1">
      <alignment horizontal="center"/>
    </xf>
    <xf numFmtId="0" fontId="4" fillId="2" borderId="2" xfId="1" applyNumberFormat="1" applyFont="1" applyFill="1" applyBorder="1" applyAlignment="1">
      <alignment horizontal="center"/>
    </xf>
    <xf numFmtId="0" fontId="4" fillId="2" borderId="67" xfId="1" applyNumberFormat="1" applyFont="1" applyFill="1" applyBorder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14" borderId="22" xfId="0" applyFont="1" applyFill="1" applyBorder="1" applyAlignment="1">
      <alignment horizontal="center" wrapText="1"/>
    </xf>
    <xf numFmtId="0" fontId="4" fillId="14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66" fontId="0" fillId="9" borderId="1" xfId="1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44">
    <dxf>
      <font>
        <color rgb="FFFF0000"/>
      </font>
    </dxf>
    <dxf>
      <font>
        <color auto="1"/>
      </font>
      <fill>
        <patternFill>
          <bgColor theme="5" tint="0.79998168889431442"/>
        </patternFill>
      </fill>
    </dxf>
    <dxf>
      <font>
        <color rgb="FFFF0000"/>
      </font>
    </dxf>
    <dxf>
      <font>
        <color auto="1"/>
      </font>
      <fill>
        <patternFill>
          <bgColor theme="5" tint="0.79998168889431442"/>
        </patternFill>
      </fill>
    </dxf>
    <dxf>
      <font>
        <color rgb="FFFF0000"/>
      </font>
    </dxf>
    <dxf>
      <fill>
        <patternFill>
          <bgColor theme="5" tint="0.79998168889431442"/>
        </patternFill>
      </fill>
    </dxf>
    <dxf>
      <font>
        <color rgb="FFFF0000"/>
      </font>
    </dxf>
    <dxf>
      <fill>
        <patternFill>
          <bgColor theme="5" tint="0.79998168889431442"/>
        </patternFill>
      </fill>
    </dxf>
    <dxf>
      <font>
        <color rgb="FFFF0000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b/>
        <i val="0"/>
        <color theme="4"/>
      </font>
    </dxf>
    <dxf>
      <font>
        <b/>
        <i val="0"/>
        <color rgb="FF00B050"/>
      </font>
    </dxf>
    <dxf>
      <font>
        <b val="0"/>
        <i val="0"/>
        <color auto="1"/>
      </font>
    </dxf>
    <dxf>
      <font>
        <b/>
        <i val="0"/>
        <color theme="4"/>
      </font>
    </dxf>
    <dxf>
      <font>
        <b/>
        <i val="0"/>
        <color rgb="FF00B050"/>
      </font>
    </dxf>
    <dxf>
      <font>
        <b val="0"/>
        <i val="0"/>
        <color auto="1"/>
      </font>
    </dxf>
    <dxf>
      <font>
        <color auto="1"/>
      </font>
      <fill>
        <patternFill>
          <bgColor theme="5" tint="0.79998168889431442"/>
        </patternFill>
      </fill>
    </dxf>
    <dxf>
      <font>
        <color rgb="FFFF0000"/>
      </font>
    </dxf>
    <dxf>
      <font>
        <color auto="1"/>
      </font>
      <fill>
        <patternFill>
          <bgColor theme="5" tint="0.79998168889431442"/>
        </patternFill>
      </fill>
    </dxf>
    <dxf>
      <font>
        <color rgb="FFFF0000"/>
      </font>
    </dxf>
    <dxf>
      <font>
        <color auto="1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4D60-58E5-4839-9C6F-CF4AD6EC2AE9}">
  <sheetPr>
    <pageSetUpPr fitToPage="1"/>
  </sheetPr>
  <dimension ref="B1:AA50"/>
  <sheetViews>
    <sheetView showGridLines="0" tabSelected="1" zoomScale="85" zoomScaleNormal="85" workbookViewId="0">
      <selection activeCell="V10" sqref="V10"/>
    </sheetView>
  </sheetViews>
  <sheetFormatPr defaultRowHeight="15" x14ac:dyDescent="0.25"/>
  <cols>
    <col min="1" max="1" width="2.85546875" customWidth="1"/>
    <col min="2" max="2" width="13.5703125" customWidth="1"/>
    <col min="3" max="3" width="27.85546875" customWidth="1"/>
    <col min="5" max="14" width="11.5703125" bestFit="1" customWidth="1"/>
    <col min="15" max="15" width="10.5703125" bestFit="1" customWidth="1"/>
    <col min="16" max="17" width="10.7109375" bestFit="1" customWidth="1"/>
  </cols>
  <sheetData>
    <row r="1" spans="2:27" ht="15" customHeight="1" thickBot="1" x14ac:dyDescent="0.3"/>
    <row r="2" spans="2:27" ht="48.75" customHeight="1" thickBot="1" x14ac:dyDescent="0.3">
      <c r="B2" s="559" t="s">
        <v>221</v>
      </c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1"/>
    </row>
    <row r="3" spans="2:27" ht="15" customHeight="1" thickBot="1" x14ac:dyDescent="0.3"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</row>
    <row r="4" spans="2:27" ht="15.75" thickBot="1" x14ac:dyDescent="0.3">
      <c r="B4" s="273" t="s">
        <v>61</v>
      </c>
      <c r="C4" s="274" t="s">
        <v>269</v>
      </c>
      <c r="D4" s="275" t="s">
        <v>54</v>
      </c>
      <c r="E4" s="276">
        <v>2014</v>
      </c>
      <c r="F4" s="276">
        <v>2015</v>
      </c>
      <c r="G4" s="276">
        <v>2016</v>
      </c>
      <c r="H4" s="276">
        <v>2017</v>
      </c>
      <c r="I4" s="276">
        <v>2018</v>
      </c>
      <c r="J4" s="276">
        <v>2019</v>
      </c>
      <c r="K4" s="276">
        <v>2020</v>
      </c>
      <c r="L4" s="276">
        <v>2021</v>
      </c>
      <c r="M4" s="276">
        <v>2022</v>
      </c>
      <c r="N4" s="276">
        <v>2023</v>
      </c>
      <c r="O4" s="277">
        <v>2024</v>
      </c>
    </row>
    <row r="5" spans="2:27" x14ac:dyDescent="0.25">
      <c r="B5" s="268" t="s">
        <v>17</v>
      </c>
      <c r="C5" s="269" t="s">
        <v>176</v>
      </c>
      <c r="D5" s="270" t="s">
        <v>69</v>
      </c>
      <c r="E5" s="271">
        <v>19.5163564972624</v>
      </c>
      <c r="F5" s="271">
        <v>73.162355209878996</v>
      </c>
      <c r="G5" s="271">
        <v>66.7050018757582</v>
      </c>
      <c r="H5" s="271">
        <v>66.191003426909404</v>
      </c>
      <c r="I5" s="271">
        <v>38.868861522168999</v>
      </c>
      <c r="J5" s="271">
        <v>45.622078568181799</v>
      </c>
      <c r="K5" s="271">
        <v>18.0945643989707</v>
      </c>
      <c r="L5" s="272">
        <v>21.5823941196318</v>
      </c>
      <c r="M5" s="272">
        <v>17.215044633189901</v>
      </c>
      <c r="N5" s="271">
        <v>47.642204177804302</v>
      </c>
      <c r="O5" s="369">
        <v>35.652233367859999</v>
      </c>
      <c r="P5" s="363"/>
      <c r="Q5" s="363"/>
    </row>
    <row r="6" spans="2:27" x14ac:dyDescent="0.25">
      <c r="B6" s="172" t="s">
        <v>19</v>
      </c>
      <c r="C6" s="257" t="s">
        <v>177</v>
      </c>
      <c r="D6" s="170" t="s">
        <v>67</v>
      </c>
      <c r="E6" s="261">
        <v>0</v>
      </c>
      <c r="F6" s="261">
        <v>0</v>
      </c>
      <c r="G6" s="261">
        <v>0</v>
      </c>
      <c r="H6" s="261">
        <v>0</v>
      </c>
      <c r="I6" s="261">
        <v>0</v>
      </c>
      <c r="J6" s="261">
        <v>0</v>
      </c>
      <c r="K6" s="261">
        <v>0</v>
      </c>
      <c r="L6" s="262">
        <v>118.53416442871099</v>
      </c>
      <c r="M6" s="262">
        <v>35.574146270752003</v>
      </c>
      <c r="N6" s="261">
        <v>0</v>
      </c>
      <c r="O6" s="364">
        <v>0</v>
      </c>
      <c r="P6" s="363"/>
      <c r="Q6" s="519"/>
      <c r="R6" s="518"/>
      <c r="S6" s="518"/>
      <c r="T6" s="518"/>
      <c r="U6" s="518"/>
      <c r="V6" s="518"/>
      <c r="W6" s="518"/>
      <c r="X6" s="518"/>
      <c r="Y6" s="518"/>
      <c r="Z6" s="518"/>
      <c r="AA6" s="298"/>
    </row>
    <row r="7" spans="2:27" x14ac:dyDescent="0.25">
      <c r="B7" s="172" t="s">
        <v>0</v>
      </c>
      <c r="C7" s="257" t="s">
        <v>178</v>
      </c>
      <c r="D7" s="170" t="s">
        <v>64</v>
      </c>
      <c r="E7" s="322">
        <v>1077.6790132522599</v>
      </c>
      <c r="F7" s="322">
        <v>1792.62599182129</v>
      </c>
      <c r="G7" s="322">
        <v>1812.17395782471</v>
      </c>
      <c r="H7" s="322">
        <v>2962.3210859298702</v>
      </c>
      <c r="I7" s="322">
        <v>4641.2020263671902</v>
      </c>
      <c r="J7" s="322">
        <v>3212.2408905029301</v>
      </c>
      <c r="K7" s="322">
        <v>3706.7398700714102</v>
      </c>
      <c r="L7" s="323">
        <v>2702.0970191955598</v>
      </c>
      <c r="M7" s="323">
        <v>3676.3511264324202</v>
      </c>
      <c r="N7" s="322">
        <v>4297.2371063232404</v>
      </c>
      <c r="O7" s="364">
        <v>4468.72998046875</v>
      </c>
      <c r="P7" s="363"/>
      <c r="Q7" s="363"/>
    </row>
    <row r="8" spans="2:27" x14ac:dyDescent="0.25">
      <c r="B8" s="172" t="s">
        <v>12</v>
      </c>
      <c r="C8" s="257" t="s">
        <v>179</v>
      </c>
      <c r="D8" s="170" t="s">
        <v>70</v>
      </c>
      <c r="E8" s="261">
        <v>1399.0149974823</v>
      </c>
      <c r="F8" s="261">
        <v>1747.5367889404299</v>
      </c>
      <c r="G8" s="261">
        <v>5583.7474975585901</v>
      </c>
      <c r="H8" s="261">
        <v>4806.0073852539099</v>
      </c>
      <c r="I8" s="261">
        <v>3194.0311889648401</v>
      </c>
      <c r="J8" s="261">
        <v>5279.2092437744104</v>
      </c>
      <c r="K8" s="261">
        <v>6745.3982162475604</v>
      </c>
      <c r="L8" s="262">
        <v>4882.5838470459003</v>
      </c>
      <c r="M8" s="262">
        <v>4426.91503143311</v>
      </c>
      <c r="N8" s="261">
        <v>3193.8279571533199</v>
      </c>
      <c r="O8" s="364">
        <v>5052.4344196319598</v>
      </c>
      <c r="P8" s="363"/>
      <c r="Q8" s="363"/>
      <c r="R8" s="298"/>
      <c r="S8" s="298"/>
      <c r="T8" s="298"/>
      <c r="U8" s="298"/>
      <c r="V8" s="298"/>
      <c r="W8" s="298"/>
      <c r="X8" s="298"/>
      <c r="Y8" s="298"/>
      <c r="Z8" s="298"/>
      <c r="AA8" s="298"/>
    </row>
    <row r="9" spans="2:27" x14ac:dyDescent="0.25">
      <c r="B9" s="172" t="s">
        <v>234</v>
      </c>
      <c r="C9" s="257" t="s">
        <v>180</v>
      </c>
      <c r="D9" s="170" t="s">
        <v>69</v>
      </c>
      <c r="E9" s="322">
        <v>92504.154886245698</v>
      </c>
      <c r="F9" s="322">
        <v>87344.1846060885</v>
      </c>
      <c r="G9" s="322">
        <v>88371.505665779099</v>
      </c>
      <c r="H9" s="322">
        <v>87897.433378063099</v>
      </c>
      <c r="I9" s="322">
        <v>79963.508296578206</v>
      </c>
      <c r="J9" s="322">
        <v>72252.593093872099</v>
      </c>
      <c r="K9" s="322">
        <v>71514.148280824695</v>
      </c>
      <c r="L9" s="323">
        <v>76295.546055727493</v>
      </c>
      <c r="M9" s="323">
        <v>69058.296926855997</v>
      </c>
      <c r="N9" s="322">
        <v>62653.400647677503</v>
      </c>
      <c r="O9" s="364">
        <v>71561.064461748203</v>
      </c>
      <c r="P9" s="363"/>
      <c r="Q9" s="363"/>
    </row>
    <row r="10" spans="2:27" x14ac:dyDescent="0.25">
      <c r="B10" s="172" t="s">
        <v>222</v>
      </c>
      <c r="C10" s="257" t="s">
        <v>182</v>
      </c>
      <c r="D10" s="170" t="s">
        <v>69</v>
      </c>
      <c r="E10" s="261">
        <v>0</v>
      </c>
      <c r="F10" s="261">
        <v>0</v>
      </c>
      <c r="G10" s="261">
        <v>0</v>
      </c>
      <c r="H10" s="261">
        <v>0</v>
      </c>
      <c r="I10" s="261">
        <v>0</v>
      </c>
      <c r="J10" s="261">
        <v>0</v>
      </c>
      <c r="K10" s="261">
        <v>0</v>
      </c>
      <c r="L10" s="262">
        <v>0</v>
      </c>
      <c r="M10" s="262">
        <v>0</v>
      </c>
      <c r="N10" s="261">
        <v>0</v>
      </c>
      <c r="O10" s="364">
        <v>0</v>
      </c>
      <c r="P10" s="363"/>
      <c r="Q10" s="363"/>
    </row>
    <row r="11" spans="2:27" x14ac:dyDescent="0.25">
      <c r="B11" s="172" t="s">
        <v>21</v>
      </c>
      <c r="C11" s="257" t="s">
        <v>181</v>
      </c>
      <c r="D11" s="170" t="s">
        <v>65</v>
      </c>
      <c r="E11" s="261">
        <v>87.530826330184894</v>
      </c>
      <c r="F11" s="261">
        <v>87.109538435936003</v>
      </c>
      <c r="G11" s="261">
        <v>43.921530008315997</v>
      </c>
      <c r="H11" s="261">
        <v>23.331980705261198</v>
      </c>
      <c r="I11" s="261">
        <v>12.880166053771999</v>
      </c>
      <c r="J11" s="261">
        <v>17.2055329834396</v>
      </c>
      <c r="K11" s="261">
        <v>7.8511998653411901</v>
      </c>
      <c r="L11" s="262">
        <v>2.6006901675071101</v>
      </c>
      <c r="M11" s="262">
        <v>1.6009562015533401</v>
      </c>
      <c r="N11" s="261">
        <v>1.2063014268690599</v>
      </c>
      <c r="O11" s="364">
        <v>1.12943994998932</v>
      </c>
      <c r="P11" s="363"/>
      <c r="Q11" s="363"/>
    </row>
    <row r="12" spans="2:27" x14ac:dyDescent="0.25">
      <c r="B12" s="42" t="s">
        <v>157</v>
      </c>
      <c r="C12" s="260" t="s">
        <v>183</v>
      </c>
      <c r="D12" s="170" t="s">
        <v>66</v>
      </c>
      <c r="E12" s="261">
        <v>51620.883865356402</v>
      </c>
      <c r="F12" s="261">
        <v>35730.4047050476</v>
      </c>
      <c r="G12" s="261">
        <v>42242.789375186003</v>
      </c>
      <c r="H12" s="261">
        <v>47906.565187454202</v>
      </c>
      <c r="I12" s="261">
        <v>36169.079788208001</v>
      </c>
      <c r="J12" s="261">
        <v>36325.308994054802</v>
      </c>
      <c r="K12" s="261">
        <v>36519.236630797401</v>
      </c>
      <c r="L12" s="262">
        <v>42208.324748039202</v>
      </c>
      <c r="M12" s="261">
        <v>62986.766418457002</v>
      </c>
      <c r="N12" s="517">
        <v>53460.176620483398</v>
      </c>
      <c r="O12" s="364">
        <v>56114.030319213904</v>
      </c>
      <c r="P12" s="363"/>
      <c r="Q12" s="363"/>
    </row>
    <row r="13" spans="2:27" x14ac:dyDescent="0.25">
      <c r="B13" s="265" t="s">
        <v>3</v>
      </c>
      <c r="C13" s="266" t="s">
        <v>184</v>
      </c>
      <c r="D13" s="170" t="s">
        <v>66</v>
      </c>
      <c r="E13" s="261">
        <v>33427.2389249802</v>
      </c>
      <c r="F13" s="261">
        <v>17159.388103008299</v>
      </c>
      <c r="G13" s="261">
        <v>19244.239039897901</v>
      </c>
      <c r="H13" s="261">
        <v>13932.335739255001</v>
      </c>
      <c r="I13" s="261">
        <v>37488.128093719497</v>
      </c>
      <c r="J13" s="261">
        <v>33553.952145338102</v>
      </c>
      <c r="K13" s="261">
        <v>20794.725916028001</v>
      </c>
      <c r="L13" s="262">
        <v>24515.398932464399</v>
      </c>
      <c r="M13" s="262">
        <v>20850.7520325482</v>
      </c>
      <c r="N13" s="261">
        <v>21246.934996187701</v>
      </c>
      <c r="O13" s="364">
        <v>31163</v>
      </c>
      <c r="P13" s="363"/>
      <c r="Q13" s="363"/>
    </row>
    <row r="14" spans="2:27" x14ac:dyDescent="0.25">
      <c r="B14" s="180" t="s">
        <v>4</v>
      </c>
      <c r="C14" s="258" t="s">
        <v>185</v>
      </c>
      <c r="D14" s="170" t="s">
        <v>66</v>
      </c>
      <c r="E14" s="309">
        <v>46216</v>
      </c>
      <c r="F14" s="309">
        <v>42598.555084228501</v>
      </c>
      <c r="G14" s="309">
        <v>45110.4863891602</v>
      </c>
      <c r="H14" s="309">
        <v>56101.986846923799</v>
      </c>
      <c r="I14" s="309">
        <v>58650.180541992202</v>
      </c>
      <c r="J14" s="309">
        <v>58047.206787109397</v>
      </c>
      <c r="K14" s="309">
        <v>48314.8681640625</v>
      </c>
      <c r="L14" s="310">
        <v>44280.90234375</v>
      </c>
      <c r="M14" s="310">
        <v>38821.28125</v>
      </c>
      <c r="N14" s="309">
        <v>37350.240234375</v>
      </c>
      <c r="O14" s="364">
        <v>42531.001098632798</v>
      </c>
      <c r="P14" s="363"/>
      <c r="Q14" s="363"/>
    </row>
    <row r="15" spans="2:27" x14ac:dyDescent="0.25">
      <c r="B15" s="172" t="s">
        <v>14</v>
      </c>
      <c r="C15" s="260" t="s">
        <v>186</v>
      </c>
      <c r="D15" s="170" t="s">
        <v>65</v>
      </c>
      <c r="E15" s="261">
        <v>4072.4999542236301</v>
      </c>
      <c r="F15" s="261">
        <v>3478.0998992919899</v>
      </c>
      <c r="G15" s="261">
        <v>3388.9999542236301</v>
      </c>
      <c r="H15" s="261">
        <v>4002.7001037597702</v>
      </c>
      <c r="I15" s="261">
        <v>3382.1000061035202</v>
      </c>
      <c r="J15" s="261">
        <v>2604.1000518798801</v>
      </c>
      <c r="K15" s="261">
        <v>2083.0999755859398</v>
      </c>
      <c r="L15" s="262">
        <v>1027.5</v>
      </c>
      <c r="M15" s="262">
        <v>1372.8800354003899</v>
      </c>
      <c r="N15" s="261">
        <v>2018.41003417969</v>
      </c>
      <c r="O15" s="364">
        <v>2087.2999572753902</v>
      </c>
      <c r="P15" s="363"/>
      <c r="Q15" s="363"/>
    </row>
    <row r="16" spans="2:27" x14ac:dyDescent="0.25">
      <c r="B16" s="172" t="s">
        <v>15</v>
      </c>
      <c r="C16" s="260" t="s">
        <v>187</v>
      </c>
      <c r="D16" s="170" t="s">
        <v>66</v>
      </c>
      <c r="E16" s="261">
        <v>71.306000709533706</v>
      </c>
      <c r="F16" s="261">
        <v>108.406670570374</v>
      </c>
      <c r="G16" s="261">
        <v>972.26931309465897</v>
      </c>
      <c r="H16" s="261">
        <v>403.745532141269</v>
      </c>
      <c r="I16" s="261">
        <v>3591.93516136573</v>
      </c>
      <c r="J16" s="261">
        <v>3654.2361297607399</v>
      </c>
      <c r="K16" s="261">
        <v>577.64497187298298</v>
      </c>
      <c r="L16" s="262">
        <v>572.85173262573096</v>
      </c>
      <c r="M16" s="262">
        <v>1958.48142623901</v>
      </c>
      <c r="N16" s="261">
        <v>969.35087463838101</v>
      </c>
      <c r="O16" s="364">
        <v>3638.97052717209</v>
      </c>
      <c r="P16" s="363"/>
      <c r="Q16" s="363"/>
    </row>
    <row r="17" spans="2:17" x14ac:dyDescent="0.25">
      <c r="B17" s="172" t="s">
        <v>2</v>
      </c>
      <c r="C17" s="260" t="s">
        <v>188</v>
      </c>
      <c r="D17" s="170" t="s">
        <v>64</v>
      </c>
      <c r="E17" s="261">
        <v>10409.0522650451</v>
      </c>
      <c r="F17" s="261">
        <v>9182.8629771687702</v>
      </c>
      <c r="G17" s="261">
        <v>11721.140361874101</v>
      </c>
      <c r="H17" s="261">
        <v>8164</v>
      </c>
      <c r="I17" s="261">
        <v>6990.1159667968795</v>
      </c>
      <c r="J17" s="261">
        <v>10790</v>
      </c>
      <c r="K17" s="261">
        <v>3687</v>
      </c>
      <c r="L17" s="262">
        <v>6207.9500012397802</v>
      </c>
      <c r="M17" s="262">
        <v>4259</v>
      </c>
      <c r="N17" s="261">
        <v>4616</v>
      </c>
      <c r="O17" s="364">
        <v>3529.1400146484398</v>
      </c>
      <c r="P17" s="363"/>
      <c r="Q17" s="363"/>
    </row>
    <row r="18" spans="2:17" x14ac:dyDescent="0.25">
      <c r="B18" s="172" t="s">
        <v>5</v>
      </c>
      <c r="C18" s="260" t="s">
        <v>189</v>
      </c>
      <c r="D18" s="170" t="s">
        <v>66</v>
      </c>
      <c r="E18" s="261">
        <v>37778.196241332902</v>
      </c>
      <c r="F18" s="261">
        <v>32672.899676503501</v>
      </c>
      <c r="G18" s="261">
        <v>33734.609993266196</v>
      </c>
      <c r="H18" s="261">
        <v>37977.273083397602</v>
      </c>
      <c r="I18" s="261">
        <v>39816.900805473299</v>
      </c>
      <c r="J18" s="261">
        <v>44761.468518272901</v>
      </c>
      <c r="K18" s="261">
        <v>37037.6104908298</v>
      </c>
      <c r="L18" s="262">
        <v>31318.236936696001</v>
      </c>
      <c r="M18" s="262">
        <v>30038.3204142758</v>
      </c>
      <c r="N18" s="261">
        <v>30310.189114246801</v>
      </c>
      <c r="O18" s="364">
        <v>33303.399884223902</v>
      </c>
      <c r="P18" s="363"/>
      <c r="Q18" s="363"/>
    </row>
    <row r="19" spans="2:17" x14ac:dyDescent="0.25">
      <c r="B19" s="180" t="s">
        <v>22</v>
      </c>
      <c r="C19" s="258" t="s">
        <v>190</v>
      </c>
      <c r="D19" s="170" t="s">
        <v>67</v>
      </c>
      <c r="E19" s="261">
        <v>734.66519927978504</v>
      </c>
      <c r="F19" s="261">
        <v>747.38420104980503</v>
      </c>
      <c r="G19" s="261">
        <v>735.92519760131802</v>
      </c>
      <c r="H19" s="261">
        <v>702.95119857788097</v>
      </c>
      <c r="I19" s="261">
        <v>704.28267425466697</v>
      </c>
      <c r="J19" s="261">
        <v>721.89740270770699</v>
      </c>
      <c r="K19" s="261">
        <v>712.07102684510801</v>
      </c>
      <c r="L19" s="262">
        <v>707.47707593910297</v>
      </c>
      <c r="M19" s="262">
        <v>707.64325106008801</v>
      </c>
      <c r="N19" s="261">
        <v>698.56999951397995</v>
      </c>
      <c r="O19" s="364">
        <v>347.69699859619101</v>
      </c>
      <c r="P19" s="363"/>
      <c r="Q19" s="363"/>
    </row>
    <row r="20" spans="2:17" x14ac:dyDescent="0.25">
      <c r="B20" s="172" t="s">
        <v>9</v>
      </c>
      <c r="C20" s="260" t="s">
        <v>191</v>
      </c>
      <c r="D20" s="170" t="s">
        <v>68</v>
      </c>
      <c r="E20" s="261">
        <v>49211.939023090999</v>
      </c>
      <c r="F20" s="261">
        <v>52438.667800903298</v>
      </c>
      <c r="G20" s="261">
        <v>53705.450397491499</v>
      </c>
      <c r="H20" s="261">
        <v>49360.685164868803</v>
      </c>
      <c r="I20" s="261">
        <v>47217.148636817903</v>
      </c>
      <c r="J20" s="261">
        <v>44702.1382331848</v>
      </c>
      <c r="K20" s="261">
        <v>42704.579140603499</v>
      </c>
      <c r="L20" s="262">
        <v>24547.862437248201</v>
      </c>
      <c r="M20" s="262">
        <v>28082.963220171601</v>
      </c>
      <c r="N20" s="261">
        <v>30775.6651370525</v>
      </c>
      <c r="O20" s="364">
        <v>26477.3200683594</v>
      </c>
      <c r="P20" s="363"/>
      <c r="Q20" s="363"/>
    </row>
    <row r="21" spans="2:17" x14ac:dyDescent="0.25">
      <c r="B21" s="172" t="s">
        <v>23</v>
      </c>
      <c r="C21" s="260" t="s">
        <v>192</v>
      </c>
      <c r="D21" s="170" t="s">
        <v>67</v>
      </c>
      <c r="E21" s="261">
        <v>5.3890000581741297</v>
      </c>
      <c r="F21" s="261">
        <v>69.190001487731905</v>
      </c>
      <c r="G21" s="261">
        <v>173.64627981185899</v>
      </c>
      <c r="H21" s="261">
        <v>168.26799774169899</v>
      </c>
      <c r="I21" s="261">
        <v>155.37599778175399</v>
      </c>
      <c r="J21" s="261">
        <v>268.81099623441702</v>
      </c>
      <c r="K21" s="261">
        <v>116.360000610352</v>
      </c>
      <c r="L21" s="262">
        <v>259</v>
      </c>
      <c r="M21" s="262">
        <v>75.208999633789105</v>
      </c>
      <c r="N21" s="261">
        <v>462</v>
      </c>
      <c r="O21" s="364">
        <v>685</v>
      </c>
      <c r="P21" s="363"/>
      <c r="Q21" s="363"/>
    </row>
    <row r="22" spans="2:17" x14ac:dyDescent="0.25">
      <c r="B22" s="172" t="s">
        <v>11</v>
      </c>
      <c r="C22" s="260" t="s">
        <v>193</v>
      </c>
      <c r="D22" s="170" t="s">
        <v>68</v>
      </c>
      <c r="E22" s="261">
        <v>4908.3624216649296</v>
      </c>
      <c r="F22" s="261">
        <v>5530.3786511464796</v>
      </c>
      <c r="G22" s="261">
        <v>7585.11568652393</v>
      </c>
      <c r="H22" s="261">
        <v>8016.5168991088904</v>
      </c>
      <c r="I22" s="261">
        <v>11656.0078543416</v>
      </c>
      <c r="J22" s="261">
        <v>12684.006774572799</v>
      </c>
      <c r="K22" s="261">
        <v>9778.7189216613806</v>
      </c>
      <c r="L22" s="262">
        <v>9711.0406017303503</v>
      </c>
      <c r="M22" s="262">
        <v>11191.1886739731</v>
      </c>
      <c r="N22" s="261">
        <v>9891.0398731231708</v>
      </c>
      <c r="O22" s="364">
        <v>9823.0100404620207</v>
      </c>
      <c r="P22" s="363"/>
      <c r="Q22" s="363"/>
    </row>
    <row r="23" spans="2:17" x14ac:dyDescent="0.25">
      <c r="B23" s="172" t="s">
        <v>24</v>
      </c>
      <c r="C23" s="260" t="s">
        <v>194</v>
      </c>
      <c r="D23" s="170" t="s">
        <v>66</v>
      </c>
      <c r="E23" s="261">
        <v>77.319999694824205</v>
      </c>
      <c r="F23" s="261">
        <v>144.49299621582</v>
      </c>
      <c r="G23" s="261">
        <v>155.80499839782701</v>
      </c>
      <c r="H23" s="261">
        <v>383.647010803223</v>
      </c>
      <c r="I23" s="261">
        <v>446.28599548339798</v>
      </c>
      <c r="J23" s="261">
        <v>427.75900268554699</v>
      </c>
      <c r="K23" s="261">
        <v>374.443012237549</v>
      </c>
      <c r="L23" s="262">
        <v>390.78698730468801</v>
      </c>
      <c r="M23" s="262">
        <v>338.680995941162</v>
      </c>
      <c r="N23" s="261">
        <v>716.009971618652</v>
      </c>
      <c r="O23" s="364">
        <v>662.04998779296898</v>
      </c>
      <c r="P23" s="363"/>
      <c r="Q23" s="363"/>
    </row>
    <row r="24" spans="2:17" x14ac:dyDescent="0.25">
      <c r="B24" s="180" t="s">
        <v>6</v>
      </c>
      <c r="C24" s="258" t="s">
        <v>195</v>
      </c>
      <c r="D24" s="170" t="s">
        <v>66</v>
      </c>
      <c r="E24" s="261">
        <v>7207.6950969695999</v>
      </c>
      <c r="F24" s="261">
        <v>15182.600152589401</v>
      </c>
      <c r="G24" s="261">
        <v>20983.163238525402</v>
      </c>
      <c r="H24" s="261">
        <v>19498.5272055729</v>
      </c>
      <c r="I24" s="261">
        <v>28837.400194883299</v>
      </c>
      <c r="J24" s="261">
        <v>37032.626380920403</v>
      </c>
      <c r="K24" s="261">
        <v>68785.188802719102</v>
      </c>
      <c r="L24" s="262">
        <v>75080.315475492403</v>
      </c>
      <c r="M24" s="262">
        <v>77821.061553955107</v>
      </c>
      <c r="N24" s="261">
        <v>70072.047027587905</v>
      </c>
      <c r="O24" s="364">
        <v>88942.367503166199</v>
      </c>
      <c r="P24" s="363"/>
      <c r="Q24" s="363"/>
    </row>
    <row r="25" spans="2:17" x14ac:dyDescent="0.25">
      <c r="B25" s="172" t="s">
        <v>7</v>
      </c>
      <c r="C25" s="260" t="s">
        <v>196</v>
      </c>
      <c r="D25" s="170" t="s">
        <v>66</v>
      </c>
      <c r="E25" s="261">
        <v>16441.111871177101</v>
      </c>
      <c r="F25" s="261">
        <v>18816.629061371801</v>
      </c>
      <c r="G25" s="261">
        <v>25560.431508645299</v>
      </c>
      <c r="H25" s="261">
        <v>27784.023151273399</v>
      </c>
      <c r="I25" s="261">
        <v>18383.8880426504</v>
      </c>
      <c r="J25" s="261">
        <v>9358.4672344331702</v>
      </c>
      <c r="K25" s="261">
        <v>7919.0987183928</v>
      </c>
      <c r="L25" s="262">
        <v>7314.2313053750704</v>
      </c>
      <c r="M25" s="262">
        <v>6763.3937940002697</v>
      </c>
      <c r="N25" s="261">
        <v>8279.0947734039</v>
      </c>
      <c r="O25" s="364">
        <v>8647.7295053180806</v>
      </c>
      <c r="P25" s="363"/>
      <c r="Q25" s="363"/>
    </row>
    <row r="26" spans="2:17" x14ac:dyDescent="0.25">
      <c r="B26" s="172" t="s">
        <v>25</v>
      </c>
      <c r="C26" s="260" t="s">
        <v>197</v>
      </c>
      <c r="D26" s="170" t="s">
        <v>64</v>
      </c>
      <c r="E26" s="261">
        <v>69.221998929977403</v>
      </c>
      <c r="F26" s="261">
        <v>0</v>
      </c>
      <c r="G26" s="261">
        <v>0</v>
      </c>
      <c r="H26" s="261">
        <v>72.680004119873004</v>
      </c>
      <c r="I26" s="261">
        <v>0</v>
      </c>
      <c r="J26" s="261">
        <v>0</v>
      </c>
      <c r="K26" s="261">
        <v>0</v>
      </c>
      <c r="L26" s="262">
        <v>0</v>
      </c>
      <c r="M26" s="262">
        <v>0</v>
      </c>
      <c r="N26" s="261">
        <v>0</v>
      </c>
      <c r="O26" s="364">
        <v>0</v>
      </c>
      <c r="P26" s="363"/>
      <c r="Q26" s="363"/>
    </row>
    <row r="27" spans="2:17" x14ac:dyDescent="0.25">
      <c r="B27" s="172" t="s">
        <v>26</v>
      </c>
      <c r="C27" s="260" t="s">
        <v>198</v>
      </c>
      <c r="D27" s="170" t="s">
        <v>67</v>
      </c>
      <c r="E27" s="261">
        <v>0</v>
      </c>
      <c r="F27" s="261">
        <v>0</v>
      </c>
      <c r="G27" s="261">
        <v>0</v>
      </c>
      <c r="H27" s="261">
        <v>0</v>
      </c>
      <c r="I27" s="261">
        <v>0</v>
      </c>
      <c r="J27" s="261">
        <v>0</v>
      </c>
      <c r="K27" s="261">
        <v>0</v>
      </c>
      <c r="L27" s="262">
        <v>0</v>
      </c>
      <c r="M27" s="262">
        <v>0</v>
      </c>
      <c r="N27" s="261">
        <v>0</v>
      </c>
      <c r="O27" s="364">
        <v>0</v>
      </c>
      <c r="P27" s="363"/>
      <c r="Q27" s="363"/>
    </row>
    <row r="28" spans="2:17" x14ac:dyDescent="0.25">
      <c r="B28" s="180" t="s">
        <v>27</v>
      </c>
      <c r="C28" s="258" t="s">
        <v>199</v>
      </c>
      <c r="D28" s="170" t="s">
        <v>67</v>
      </c>
      <c r="E28" s="261">
        <v>0</v>
      </c>
      <c r="F28" s="261">
        <v>0</v>
      </c>
      <c r="G28" s="261">
        <v>0</v>
      </c>
      <c r="H28" s="261">
        <v>0</v>
      </c>
      <c r="I28" s="261">
        <v>0</v>
      </c>
      <c r="J28" s="261">
        <v>0</v>
      </c>
      <c r="K28" s="261">
        <v>0</v>
      </c>
      <c r="L28" s="262">
        <v>0</v>
      </c>
      <c r="M28" s="262">
        <v>0</v>
      </c>
      <c r="N28" s="261">
        <v>0</v>
      </c>
      <c r="O28" s="364">
        <v>10965</v>
      </c>
      <c r="P28" s="363"/>
      <c r="Q28" s="363"/>
    </row>
    <row r="29" spans="2:17" x14ac:dyDescent="0.25">
      <c r="B29" s="172" t="s">
        <v>10</v>
      </c>
      <c r="C29" s="257" t="s">
        <v>200</v>
      </c>
      <c r="D29" s="170" t="s">
        <v>68</v>
      </c>
      <c r="E29" s="261">
        <v>25079.3302427823</v>
      </c>
      <c r="F29" s="261">
        <v>41467.966638020298</v>
      </c>
      <c r="G29" s="261">
        <v>43261.027216666102</v>
      </c>
      <c r="H29" s="261">
        <v>46099.220137338903</v>
      </c>
      <c r="I29" s="261">
        <v>42068.804440678003</v>
      </c>
      <c r="J29" s="261">
        <v>43755.022855864299</v>
      </c>
      <c r="K29" s="261">
        <v>39602.697141647302</v>
      </c>
      <c r="L29" s="262">
        <v>34100.369755769098</v>
      </c>
      <c r="M29" s="262">
        <v>35958.691000526203</v>
      </c>
      <c r="N29" s="261">
        <v>34066.271082259002</v>
      </c>
      <c r="O29" s="364">
        <v>37194.319411516197</v>
      </c>
      <c r="P29" s="363"/>
      <c r="Q29" s="363"/>
    </row>
    <row r="30" spans="2:17" x14ac:dyDescent="0.25">
      <c r="B30" s="172" t="s">
        <v>28</v>
      </c>
      <c r="C30" s="257" t="s">
        <v>201</v>
      </c>
      <c r="D30" s="170" t="s">
        <v>66</v>
      </c>
      <c r="E30" s="261">
        <v>186.80599975585901</v>
      </c>
      <c r="F30" s="261">
        <v>109.450999736786</v>
      </c>
      <c r="G30" s="261">
        <v>0</v>
      </c>
      <c r="H30" s="261">
        <v>0</v>
      </c>
      <c r="I30" s="261">
        <v>0</v>
      </c>
      <c r="J30" s="261">
        <v>0</v>
      </c>
      <c r="K30" s="261">
        <v>0</v>
      </c>
      <c r="L30" s="262">
        <v>1</v>
      </c>
      <c r="M30" s="262">
        <v>6</v>
      </c>
      <c r="N30" s="261">
        <v>37</v>
      </c>
      <c r="O30" s="364">
        <v>15</v>
      </c>
      <c r="P30" s="363"/>
      <c r="Q30" s="363"/>
    </row>
    <row r="31" spans="2:17" x14ac:dyDescent="0.25">
      <c r="B31" s="172" t="s">
        <v>267</v>
      </c>
      <c r="C31" s="257" t="s">
        <v>268</v>
      </c>
      <c r="D31" s="170" t="s">
        <v>64</v>
      </c>
      <c r="E31" s="261">
        <v>12285.2820663452</v>
      </c>
      <c r="F31" s="261">
        <v>13921.4324798584</v>
      </c>
      <c r="G31" s="261">
        <v>16957.825851440401</v>
      </c>
      <c r="H31" s="261">
        <v>9115.0311584472693</v>
      </c>
      <c r="I31" s="261">
        <v>10844.772888183599</v>
      </c>
      <c r="J31" s="261">
        <v>9427.3999443054199</v>
      </c>
      <c r="K31" s="261">
        <v>9074.6200218200702</v>
      </c>
      <c r="L31" s="262">
        <v>9867.6401062011701</v>
      </c>
      <c r="M31" s="262">
        <v>10170.3004722595</v>
      </c>
      <c r="N31" s="261">
        <v>9075.0099487304706</v>
      </c>
      <c r="O31" s="364">
        <v>9446.5700721740704</v>
      </c>
      <c r="P31" s="363"/>
      <c r="Q31" s="363"/>
    </row>
    <row r="32" spans="2:17" x14ac:dyDescent="0.25">
      <c r="B32" s="172" t="s">
        <v>16</v>
      </c>
      <c r="C32" s="257" t="s">
        <v>202</v>
      </c>
      <c r="D32" s="170" t="s">
        <v>67</v>
      </c>
      <c r="E32" s="261">
        <v>3441.4995101690301</v>
      </c>
      <c r="F32" s="261">
        <v>4011.33079528809</v>
      </c>
      <c r="G32" s="261">
        <v>4012.9427947998001</v>
      </c>
      <c r="H32" s="261">
        <v>3903.5867919921898</v>
      </c>
      <c r="I32" s="261">
        <v>3903.5867919921898</v>
      </c>
      <c r="J32" s="261">
        <v>3904.6287920475002</v>
      </c>
      <c r="K32" s="261">
        <v>3904.6287920475002</v>
      </c>
      <c r="L32" s="261">
        <v>3907.1617920398699</v>
      </c>
      <c r="M32" s="262">
        <v>3467.7939949035599</v>
      </c>
      <c r="N32" s="261">
        <v>3314.05006027222</v>
      </c>
      <c r="O32" s="364">
        <v>3969.48000335693</v>
      </c>
      <c r="P32" s="363"/>
      <c r="Q32" s="363"/>
    </row>
    <row r="33" spans="2:17" x14ac:dyDescent="0.25">
      <c r="B33" s="172" t="s">
        <v>8</v>
      </c>
      <c r="C33" s="257" t="s">
        <v>203</v>
      </c>
      <c r="D33" s="170" t="s">
        <v>67</v>
      </c>
      <c r="E33" s="261">
        <v>29180.400390625</v>
      </c>
      <c r="F33" s="261">
        <v>24517.5390625</v>
      </c>
      <c r="G33" s="261">
        <v>21253.48046875</v>
      </c>
      <c r="H33" s="261">
        <v>18060.890625</v>
      </c>
      <c r="I33" s="261">
        <v>18307.739378904502</v>
      </c>
      <c r="J33" s="261">
        <v>18683.611405392701</v>
      </c>
      <c r="K33" s="261">
        <v>18784.803705537601</v>
      </c>
      <c r="L33" s="262">
        <v>16656.603658805299</v>
      </c>
      <c r="M33" s="262">
        <v>22731.910676097701</v>
      </c>
      <c r="N33" s="261">
        <v>37839.056488150003</v>
      </c>
      <c r="O33" s="364">
        <v>39470.508900357898</v>
      </c>
      <c r="P33" s="363"/>
      <c r="Q33" s="363"/>
    </row>
    <row r="34" spans="2:17" ht="15.75" thickBot="1" x14ac:dyDescent="0.3">
      <c r="B34" s="173" t="s">
        <v>29</v>
      </c>
      <c r="C34" s="259" t="s">
        <v>204</v>
      </c>
      <c r="D34" s="171" t="s">
        <v>66</v>
      </c>
      <c r="E34" s="263">
        <v>83.048222124576597</v>
      </c>
      <c r="F34" s="263">
        <v>181.88536071777301</v>
      </c>
      <c r="G34" s="263">
        <v>183.45700073242199</v>
      </c>
      <c r="H34" s="263">
        <v>247.47564697265599</v>
      </c>
      <c r="I34" s="263">
        <v>331.44030761718801</v>
      </c>
      <c r="J34" s="263">
        <v>388.98175048828102</v>
      </c>
      <c r="K34" s="263">
        <v>216.57864379882801</v>
      </c>
      <c r="L34" s="264">
        <v>307.57000732421898</v>
      </c>
      <c r="M34" s="264">
        <v>329.07534790039102</v>
      </c>
      <c r="N34" s="365">
        <v>520.65002441406205</v>
      </c>
      <c r="O34" s="367">
        <v>442.29998779296898</v>
      </c>
      <c r="P34" s="363"/>
      <c r="Q34" s="363"/>
    </row>
    <row r="35" spans="2:17" x14ac:dyDescent="0.25">
      <c r="B35" s="320" t="s">
        <v>220</v>
      </c>
      <c r="C35" s="321" t="s">
        <v>206</v>
      </c>
      <c r="D35" s="270"/>
      <c r="E35" s="271">
        <f t="shared" ref="E35:O35" si="0">SUM(E5:E34)</f>
        <v>427595.14437412284</v>
      </c>
      <c r="F35" s="271">
        <f t="shared" si="0"/>
        <v>409114.18459720071</v>
      </c>
      <c r="G35" s="313">
        <f t="shared" si="0"/>
        <v>446860.85871913505</v>
      </c>
      <c r="H35" s="313">
        <f t="shared" si="0"/>
        <v>447657.39431812841</v>
      </c>
      <c r="I35" s="271">
        <f t="shared" si="0"/>
        <v>456795.66410673369</v>
      </c>
      <c r="J35" s="271">
        <f t="shared" si="0"/>
        <v>451898.49423895392</v>
      </c>
      <c r="K35" s="271">
        <f t="shared" si="0"/>
        <v>432980.20620850561</v>
      </c>
      <c r="L35" s="313">
        <f t="shared" si="0"/>
        <v>417005.1680687294</v>
      </c>
      <c r="M35" s="272">
        <f t="shared" si="0"/>
        <v>435147.34678916994</v>
      </c>
      <c r="N35" s="366">
        <f t="shared" si="0"/>
        <v>425911.08047699556</v>
      </c>
      <c r="O35" s="366">
        <f t="shared" si="0"/>
        <v>490574.2048152262</v>
      </c>
      <c r="Q35" s="363"/>
    </row>
    <row r="36" spans="2:17" ht="15.75" thickBot="1" x14ac:dyDescent="0.3">
      <c r="B36" s="316" t="s">
        <v>219</v>
      </c>
      <c r="C36" s="317" t="s">
        <v>218</v>
      </c>
      <c r="D36" s="318"/>
      <c r="E36" s="318">
        <v>4578.6617801309003</v>
      </c>
      <c r="F36" s="319">
        <v>3526.3272987745399</v>
      </c>
      <c r="G36" s="319">
        <v>1205.68417948978</v>
      </c>
      <c r="H36" s="318">
        <v>133.24179075059101</v>
      </c>
      <c r="I36" s="318">
        <v>219.637927660326</v>
      </c>
      <c r="J36" s="318">
        <v>139.49530544834499</v>
      </c>
      <c r="K36" s="318">
        <v>135.699963441336</v>
      </c>
      <c r="L36" s="318">
        <v>39.827405596460999</v>
      </c>
      <c r="M36" s="318">
        <v>71.621905743538704</v>
      </c>
      <c r="N36" s="365">
        <v>38.3889638962997</v>
      </c>
      <c r="O36" s="367">
        <v>47.9265837182284</v>
      </c>
    </row>
    <row r="37" spans="2:17" ht="16.5" thickTop="1" thickBot="1" x14ac:dyDescent="0.3">
      <c r="B37" s="314" t="s">
        <v>205</v>
      </c>
      <c r="C37" s="315"/>
      <c r="D37" s="315"/>
      <c r="E37" s="312">
        <f>SUM(E35:E36)</f>
        <v>432173.80615425372</v>
      </c>
      <c r="F37" s="312">
        <f t="shared" ref="F37:O37" si="1">SUM(F35:F36)</f>
        <v>412640.51189597527</v>
      </c>
      <c r="G37" s="312">
        <f t="shared" si="1"/>
        <v>448066.54289862484</v>
      </c>
      <c r="H37" s="312">
        <f t="shared" si="1"/>
        <v>447790.636108879</v>
      </c>
      <c r="I37" s="312">
        <f t="shared" si="1"/>
        <v>457015.302034394</v>
      </c>
      <c r="J37" s="312">
        <f t="shared" si="1"/>
        <v>452037.98954440228</v>
      </c>
      <c r="K37" s="312">
        <f t="shared" si="1"/>
        <v>433115.90617194696</v>
      </c>
      <c r="L37" s="312">
        <f t="shared" si="1"/>
        <v>417044.99547432584</v>
      </c>
      <c r="M37" s="362">
        <f t="shared" si="1"/>
        <v>435218.96869491349</v>
      </c>
      <c r="N37" s="368">
        <f t="shared" si="1"/>
        <v>425949.46944089187</v>
      </c>
      <c r="O37" s="368">
        <f t="shared" si="1"/>
        <v>490622.13139894442</v>
      </c>
      <c r="P37" s="23"/>
    </row>
    <row r="38" spans="2:17" x14ac:dyDescent="0.25">
      <c r="B38" s="17"/>
      <c r="C38" s="17"/>
      <c r="E38" s="363"/>
      <c r="F38" s="519"/>
      <c r="G38" s="363"/>
      <c r="H38" s="363"/>
      <c r="I38" s="363"/>
      <c r="J38" s="363"/>
      <c r="K38" s="363"/>
      <c r="L38" s="363"/>
      <c r="M38" s="363"/>
      <c r="N38" s="363"/>
      <c r="O38" s="363"/>
    </row>
    <row r="39" spans="2:17" x14ac:dyDescent="0.25">
      <c r="B39" s="170"/>
      <c r="C39" t="s">
        <v>237</v>
      </c>
      <c r="I39" t="s">
        <v>235</v>
      </c>
    </row>
    <row r="40" spans="2:17" x14ac:dyDescent="0.25">
      <c r="B40" s="267"/>
      <c r="C40" t="s">
        <v>207</v>
      </c>
    </row>
    <row r="41" spans="2:17" x14ac:dyDescent="0.25">
      <c r="B41" s="2"/>
      <c r="C41" t="s">
        <v>167</v>
      </c>
    </row>
    <row r="43" spans="2:17" x14ac:dyDescent="0.25">
      <c r="B43" s="33" t="s">
        <v>126</v>
      </c>
      <c r="C43" s="34"/>
      <c r="F43" s="25"/>
    </row>
    <row r="44" spans="2:17" x14ac:dyDescent="0.25">
      <c r="B44" s="25" t="s">
        <v>92</v>
      </c>
      <c r="C44" s="14" t="s">
        <v>93</v>
      </c>
    </row>
    <row r="45" spans="2:17" x14ac:dyDescent="0.25">
      <c r="B45" s="1" t="s">
        <v>85</v>
      </c>
      <c r="C45" t="s">
        <v>86</v>
      </c>
    </row>
    <row r="46" spans="2:17" x14ac:dyDescent="0.25">
      <c r="B46" s="1" t="s">
        <v>87</v>
      </c>
      <c r="C46" t="s">
        <v>88</v>
      </c>
    </row>
    <row r="48" spans="2:17" x14ac:dyDescent="0.25">
      <c r="B48" s="1" t="s">
        <v>89</v>
      </c>
      <c r="C48" t="s">
        <v>165</v>
      </c>
    </row>
    <row r="49" spans="2:3" x14ac:dyDescent="0.25">
      <c r="B49" s="1" t="s">
        <v>90</v>
      </c>
      <c r="C49" t="s">
        <v>166</v>
      </c>
    </row>
    <row r="50" spans="2:3" x14ac:dyDescent="0.25">
      <c r="B50" s="1" t="s">
        <v>91</v>
      </c>
      <c r="C50" t="s">
        <v>169</v>
      </c>
    </row>
  </sheetData>
  <mergeCells count="1">
    <mergeCell ref="B2:N2"/>
  </mergeCell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43772-51AE-4E39-B477-569F2D103947}">
  <dimension ref="A1:Y38"/>
  <sheetViews>
    <sheetView showGridLines="0" topLeftCell="A2" zoomScale="85" zoomScaleNormal="85" workbookViewId="0">
      <selection activeCell="V23" sqref="V23"/>
    </sheetView>
  </sheetViews>
  <sheetFormatPr defaultRowHeight="15" x14ac:dyDescent="0.25"/>
  <cols>
    <col min="1" max="2" width="2.85546875" customWidth="1"/>
    <col min="5" max="6" width="10" customWidth="1"/>
    <col min="13" max="13" width="15.5703125" bestFit="1" customWidth="1"/>
    <col min="14" max="14" width="36.85546875" customWidth="1"/>
    <col min="15" max="15" width="21.140625" bestFit="1" customWidth="1"/>
    <col min="16" max="16" width="27.28515625" bestFit="1" customWidth="1"/>
    <col min="17" max="18" width="2.85546875" customWidth="1"/>
    <col min="20" max="20" width="10.5703125" bestFit="1" customWidth="1"/>
  </cols>
  <sheetData>
    <row r="1" spans="1:22" ht="15" customHeight="1" thickBot="1" x14ac:dyDescent="0.3"/>
    <row r="2" spans="1:22" ht="48.75" customHeight="1" thickBot="1" x14ac:dyDescent="0.3">
      <c r="B2" s="559" t="s">
        <v>96</v>
      </c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1"/>
    </row>
    <row r="3" spans="1:22" ht="15" customHeight="1" thickBot="1" x14ac:dyDescent="0.3"/>
    <row r="4" spans="1:22" ht="15" customHeight="1" x14ac:dyDescent="0.25"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7"/>
      <c r="S4" s="33" t="s">
        <v>126</v>
      </c>
      <c r="T4" s="34"/>
      <c r="U4" s="34"/>
      <c r="V4" s="34"/>
    </row>
    <row r="5" spans="1:22" ht="15" customHeight="1" thickBot="1" x14ac:dyDescent="0.3">
      <c r="A5" s="13"/>
      <c r="B5" s="6"/>
      <c r="C5" s="562" t="s">
        <v>72</v>
      </c>
      <c r="D5" s="562"/>
      <c r="E5" s="562"/>
      <c r="F5" s="562"/>
      <c r="G5" s="562"/>
      <c r="H5" s="562"/>
      <c r="I5" s="562"/>
      <c r="J5" s="562"/>
      <c r="K5" s="562"/>
      <c r="L5" s="562"/>
      <c r="M5" s="562"/>
      <c r="N5" s="562"/>
      <c r="O5" s="562"/>
      <c r="P5" s="562"/>
      <c r="Q5" s="7"/>
      <c r="R5" s="13"/>
      <c r="S5" s="25" t="s">
        <v>92</v>
      </c>
      <c r="T5" s="14" t="s">
        <v>93</v>
      </c>
      <c r="U5" s="25"/>
      <c r="V5" s="25"/>
    </row>
    <row r="6" spans="1:22" ht="15" customHeight="1" x14ac:dyDescent="0.25">
      <c r="A6" s="13"/>
      <c r="B6" s="6"/>
      <c r="C6" s="563" t="s">
        <v>51</v>
      </c>
      <c r="D6" s="572" t="s">
        <v>54</v>
      </c>
      <c r="E6" s="565" t="s">
        <v>31</v>
      </c>
      <c r="F6" s="566"/>
      <c r="G6" s="565" t="s">
        <v>33</v>
      </c>
      <c r="H6" s="566"/>
      <c r="I6" s="566"/>
      <c r="J6" s="566"/>
      <c r="K6" s="566"/>
      <c r="L6" s="567"/>
      <c r="M6" s="568" t="s">
        <v>102</v>
      </c>
      <c r="N6" s="570" t="s">
        <v>42</v>
      </c>
      <c r="O6" s="571"/>
      <c r="P6" s="108" t="s">
        <v>117</v>
      </c>
      <c r="Q6" s="7"/>
      <c r="R6" s="13"/>
      <c r="S6" s="1" t="s">
        <v>85</v>
      </c>
      <c r="T6" t="s">
        <v>86</v>
      </c>
    </row>
    <row r="7" spans="1:22" ht="15" customHeight="1" thickBot="1" x14ac:dyDescent="0.3">
      <c r="A7" s="13"/>
      <c r="B7" s="6"/>
      <c r="C7" s="564"/>
      <c r="D7" s="573"/>
      <c r="E7" s="111" t="s">
        <v>32</v>
      </c>
      <c r="F7" s="112" t="s">
        <v>30</v>
      </c>
      <c r="G7" s="111">
        <v>2014</v>
      </c>
      <c r="H7" s="330">
        <v>2015</v>
      </c>
      <c r="I7" s="330">
        <v>2016</v>
      </c>
      <c r="J7" s="330">
        <v>2017</v>
      </c>
      <c r="K7" s="330">
        <v>2018</v>
      </c>
      <c r="L7" s="331">
        <v>2019</v>
      </c>
      <c r="M7" s="569"/>
      <c r="N7" s="115" t="s">
        <v>82</v>
      </c>
      <c r="O7" s="116" t="s">
        <v>121</v>
      </c>
      <c r="P7" s="349" t="s">
        <v>227</v>
      </c>
      <c r="Q7" s="7"/>
      <c r="R7" s="13"/>
      <c r="S7" s="1" t="s">
        <v>87</v>
      </c>
      <c r="T7" t="s">
        <v>88</v>
      </c>
    </row>
    <row r="8" spans="1:22" ht="15" customHeight="1" x14ac:dyDescent="0.25">
      <c r="A8" s="13"/>
      <c r="B8" s="6"/>
      <c r="C8" s="78" t="s">
        <v>234</v>
      </c>
      <c r="D8" s="117" t="s">
        <v>69</v>
      </c>
      <c r="E8" s="118">
        <v>2014</v>
      </c>
      <c r="F8" s="128">
        <v>0.15</v>
      </c>
      <c r="G8" s="119">
        <v>91405.2890625</v>
      </c>
      <c r="H8" s="329">
        <v>86336.446533203096</v>
      </c>
      <c r="I8" s="329">
        <v>87198.021118164106</v>
      </c>
      <c r="J8" s="329">
        <v>87104.512306213393</v>
      </c>
      <c r="K8" s="329">
        <v>79233.994873046904</v>
      </c>
      <c r="L8" s="120">
        <v>71542.965087890596</v>
      </c>
      <c r="M8" s="121">
        <f>G8*(1-F8)</f>
        <v>77694.495703124994</v>
      </c>
      <c r="N8" s="82">
        <f>M8*3</f>
        <v>233083.48710937498</v>
      </c>
      <c r="O8" s="45">
        <f>SUM(J8:L8)</f>
        <v>237881.47226715091</v>
      </c>
      <c r="P8" s="122">
        <f>IF(O8-N8&gt;0,O8-N8, 0)</f>
        <v>4797.9851577759255</v>
      </c>
      <c r="Q8" s="7"/>
      <c r="R8" s="13"/>
    </row>
    <row r="9" spans="1:22" ht="15" customHeight="1" x14ac:dyDescent="0.25">
      <c r="A9" s="13"/>
      <c r="B9" s="6"/>
      <c r="C9" s="75" t="s">
        <v>270</v>
      </c>
      <c r="D9" s="96" t="s">
        <v>66</v>
      </c>
      <c r="E9" s="98">
        <v>2014</v>
      </c>
      <c r="F9" s="299">
        <v>0.15</v>
      </c>
      <c r="G9" s="88">
        <v>14582</v>
      </c>
      <c r="H9" s="88">
        <v>8363</v>
      </c>
      <c r="I9" s="88">
        <v>10786</v>
      </c>
      <c r="J9" s="88">
        <v>11598</v>
      </c>
      <c r="K9" s="88">
        <v>5430</v>
      </c>
      <c r="L9" s="88">
        <v>14719</v>
      </c>
      <c r="M9" s="306">
        <f>G9*(1-F9)</f>
        <v>12394.699999999999</v>
      </c>
      <c r="N9" s="44">
        <f>M9*3</f>
        <v>37184.1</v>
      </c>
      <c r="O9" s="100">
        <f>SUM(J9:L9)</f>
        <v>31747</v>
      </c>
      <c r="P9" s="109">
        <f>IF(O9-N9&gt;0,O9-N9, 0)</f>
        <v>0</v>
      </c>
      <c r="Q9" s="7"/>
      <c r="R9" s="13"/>
      <c r="S9" s="1" t="s">
        <v>89</v>
      </c>
      <c r="T9" t="s">
        <v>165</v>
      </c>
    </row>
    <row r="10" spans="1:22" ht="15" customHeight="1" x14ac:dyDescent="0.25">
      <c r="A10" s="13"/>
      <c r="B10" s="6"/>
      <c r="C10" s="75" t="s">
        <v>2</v>
      </c>
      <c r="D10" s="96" t="s">
        <v>64</v>
      </c>
      <c r="E10" s="98">
        <v>2014</v>
      </c>
      <c r="F10" s="129">
        <v>0.15</v>
      </c>
      <c r="G10" s="104">
        <v>8851.8515110894496</v>
      </c>
      <c r="H10" s="88">
        <v>7509.0630711095801</v>
      </c>
      <c r="I10" s="88">
        <v>10347.0420012184</v>
      </c>
      <c r="J10" s="88">
        <v>6362</v>
      </c>
      <c r="K10" s="88">
        <v>5415</v>
      </c>
      <c r="L10" s="105">
        <v>8730</v>
      </c>
      <c r="M10" s="102">
        <f>G10*(1-F10)</f>
        <v>7524.073784426032</v>
      </c>
      <c r="N10" s="44">
        <f>M10*3</f>
        <v>22572.221353278095</v>
      </c>
      <c r="O10" s="100">
        <f>SUM(J10:L10)</f>
        <v>20507</v>
      </c>
      <c r="P10" s="109">
        <f>IF(O10-N10&gt;0,O10-N10, 0)</f>
        <v>0</v>
      </c>
      <c r="Q10" s="7"/>
      <c r="R10" s="13"/>
      <c r="S10" s="1" t="s">
        <v>90</v>
      </c>
      <c r="T10" t="s">
        <v>166</v>
      </c>
    </row>
    <row r="11" spans="1:22" ht="15" customHeight="1" x14ac:dyDescent="0.25">
      <c r="A11" s="13"/>
      <c r="B11" s="6"/>
      <c r="C11" s="75" t="s">
        <v>11</v>
      </c>
      <c r="D11" s="96" t="s">
        <v>68</v>
      </c>
      <c r="E11" s="98">
        <v>2018</v>
      </c>
      <c r="F11" s="129">
        <v>7.4999999999999997E-2</v>
      </c>
      <c r="G11" s="104">
        <v>4843.69189453125</v>
      </c>
      <c r="H11" s="88">
        <v>5448.31787109375</v>
      </c>
      <c r="I11" s="88">
        <v>7404.1298828125</v>
      </c>
      <c r="J11" s="88">
        <v>7681.39990234375</v>
      </c>
      <c r="K11" s="88">
        <v>11322.2374533407</v>
      </c>
      <c r="L11" s="105">
        <v>12289.9747787994</v>
      </c>
      <c r="M11" s="102">
        <f>K11*(1-F11)</f>
        <v>10473.069644340148</v>
      </c>
      <c r="N11" s="44">
        <f>M11*3</f>
        <v>31419.208933020447</v>
      </c>
      <c r="O11" s="100">
        <f>SUM(J11:L11)</f>
        <v>31293.612134483847</v>
      </c>
      <c r="P11" s="109">
        <f>IF(O11-N11&gt;0,O11-N11, 0)</f>
        <v>0</v>
      </c>
      <c r="Q11" s="7"/>
      <c r="R11" s="13"/>
      <c r="S11" s="1" t="s">
        <v>91</v>
      </c>
      <c r="T11" t="s">
        <v>169</v>
      </c>
    </row>
    <row r="12" spans="1:22" ht="15" customHeight="1" thickBot="1" x14ac:dyDescent="0.3">
      <c r="A12" s="13"/>
      <c r="B12" s="6"/>
      <c r="C12" s="76" t="s">
        <v>10</v>
      </c>
      <c r="D12" s="97" t="s">
        <v>68</v>
      </c>
      <c r="E12" s="99">
        <v>2015</v>
      </c>
      <c r="F12" s="130">
        <v>0.15</v>
      </c>
      <c r="G12" s="106">
        <v>23462.95703125</v>
      </c>
      <c r="H12" s="95">
        <v>39072.265625</v>
      </c>
      <c r="I12" s="95">
        <v>40014.244499206499</v>
      </c>
      <c r="J12" s="95">
        <v>41693.583656310999</v>
      </c>
      <c r="K12" s="95">
        <v>35023.15625</v>
      </c>
      <c r="L12" s="107">
        <v>33005.9375</v>
      </c>
      <c r="M12" s="103">
        <f>H12*(1-F12)</f>
        <v>33211.42578125</v>
      </c>
      <c r="N12" s="83">
        <f>M12*2</f>
        <v>66422.8515625</v>
      </c>
      <c r="O12" s="101">
        <f>SUM(K12:L12)</f>
        <v>68029.09375</v>
      </c>
      <c r="P12" s="110">
        <f>IF(O12-N12&gt;0,O12-N12, 0)</f>
        <v>1606.2421875</v>
      </c>
      <c r="Q12" s="7"/>
      <c r="R12" s="13"/>
    </row>
    <row r="13" spans="1:22" ht="15" customHeight="1" x14ac:dyDescent="0.25">
      <c r="A13" s="13"/>
      <c r="B13" s="6"/>
      <c r="C13" s="18"/>
      <c r="D13" s="18"/>
      <c r="E13" s="13"/>
      <c r="F13" s="20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7"/>
      <c r="R13" s="13"/>
    </row>
    <row r="14" spans="1:22" ht="15" customHeight="1" thickBot="1" x14ac:dyDescent="0.3">
      <c r="A14" s="13"/>
      <c r="B14" s="6"/>
      <c r="C14" s="562" t="s">
        <v>73</v>
      </c>
      <c r="D14" s="562"/>
      <c r="E14" s="562"/>
      <c r="F14" s="562"/>
      <c r="G14" s="562"/>
      <c r="H14" s="562"/>
      <c r="I14" s="562"/>
      <c r="J14" s="562"/>
      <c r="K14" s="562"/>
      <c r="L14" s="562"/>
      <c r="M14" s="562"/>
      <c r="N14" s="562"/>
      <c r="O14" s="562"/>
      <c r="P14" s="562"/>
      <c r="Q14" s="7"/>
      <c r="R14" s="13"/>
      <c r="T14" s="202"/>
    </row>
    <row r="15" spans="1:22" ht="15" customHeight="1" x14ac:dyDescent="0.25">
      <c r="A15" s="13"/>
      <c r="B15" s="6"/>
      <c r="C15" s="563" t="s">
        <v>34</v>
      </c>
      <c r="D15" s="574" t="s">
        <v>54</v>
      </c>
      <c r="E15" s="565" t="s">
        <v>31</v>
      </c>
      <c r="F15" s="566"/>
      <c r="G15" s="565" t="s">
        <v>33</v>
      </c>
      <c r="H15" s="566"/>
      <c r="I15" s="566"/>
      <c r="J15" s="566"/>
      <c r="K15" s="566"/>
      <c r="L15" s="567"/>
      <c r="M15" s="568" t="s">
        <v>102</v>
      </c>
      <c r="N15" s="570" t="s">
        <v>42</v>
      </c>
      <c r="O15" s="571"/>
      <c r="P15" s="108" t="s">
        <v>117</v>
      </c>
      <c r="Q15" s="7"/>
      <c r="R15" s="13"/>
      <c r="T15" s="202"/>
    </row>
    <row r="16" spans="1:22" ht="15" customHeight="1" x14ac:dyDescent="0.25">
      <c r="A16" s="13"/>
      <c r="B16" s="6"/>
      <c r="C16" s="564"/>
      <c r="D16" s="575"/>
      <c r="E16" s="111" t="s">
        <v>32</v>
      </c>
      <c r="F16" s="112" t="s">
        <v>30</v>
      </c>
      <c r="G16" s="111">
        <v>2014</v>
      </c>
      <c r="H16" s="113">
        <v>2015</v>
      </c>
      <c r="I16" s="113">
        <v>2016</v>
      </c>
      <c r="J16" s="113">
        <v>2017</v>
      </c>
      <c r="K16" s="113">
        <v>2018</v>
      </c>
      <c r="L16" s="114">
        <v>2019</v>
      </c>
      <c r="M16" s="569"/>
      <c r="N16" s="115" t="s">
        <v>82</v>
      </c>
      <c r="O16" s="116" t="s">
        <v>121</v>
      </c>
      <c r="P16" s="68" t="s">
        <v>118</v>
      </c>
      <c r="Q16" s="7"/>
      <c r="R16" s="13"/>
      <c r="T16" s="202"/>
    </row>
    <row r="17" spans="1:25" ht="15" customHeight="1" x14ac:dyDescent="0.25">
      <c r="A17" s="13"/>
      <c r="B17" s="6"/>
      <c r="C17" s="301" t="s">
        <v>5</v>
      </c>
      <c r="D17" s="541" t="s">
        <v>66</v>
      </c>
      <c r="E17" s="98">
        <v>2014</v>
      </c>
      <c r="F17" s="131">
        <v>0.1</v>
      </c>
      <c r="G17" s="104">
        <v>8624.9002075195294</v>
      </c>
      <c r="H17" s="302">
        <v>5933.47998046875</v>
      </c>
      <c r="I17" s="88">
        <v>3938.60009765625</v>
      </c>
      <c r="J17" s="303">
        <v>6447.9001464843795</v>
      </c>
      <c r="K17" s="302">
        <v>8554.3000488281195</v>
      </c>
      <c r="L17" s="105">
        <v>10745.800292968799</v>
      </c>
      <c r="M17" s="304">
        <f>G17*(1-F17)</f>
        <v>7762.4101867675763</v>
      </c>
      <c r="N17" s="305">
        <f>M17*3</f>
        <v>23287.230560302727</v>
      </c>
      <c r="O17" s="100">
        <f>SUM(J17:L17)</f>
        <v>25748.000488281301</v>
      </c>
      <c r="P17" s="109">
        <f>IF(O17-N17&gt;0,O17-N17, 0)</f>
        <v>2460.7699279785738</v>
      </c>
      <c r="Q17" s="287"/>
      <c r="R17" s="13"/>
      <c r="S17" t="s">
        <v>158</v>
      </c>
      <c r="T17" s="202"/>
    </row>
    <row r="18" spans="1:25" ht="15" customHeight="1" x14ac:dyDescent="0.25">
      <c r="A18" s="13"/>
      <c r="B18" s="6"/>
      <c r="C18" s="526" t="s">
        <v>10</v>
      </c>
      <c r="D18" s="520" t="s">
        <v>68</v>
      </c>
      <c r="E18" s="521">
        <v>2018</v>
      </c>
      <c r="F18" s="522">
        <v>0.1</v>
      </c>
      <c r="G18" s="523">
        <v>1605.9647412300101</v>
      </c>
      <c r="H18" s="524">
        <v>2339.0337800979601</v>
      </c>
      <c r="I18" s="524">
        <v>2738.6186261177099</v>
      </c>
      <c r="J18" s="524">
        <v>3647.3848419189499</v>
      </c>
      <c r="K18" s="524">
        <v>6483.6501464843795</v>
      </c>
      <c r="L18" s="105">
        <v>9789.8685302734393</v>
      </c>
      <c r="M18" s="530">
        <f>K18*(1-F18)</f>
        <v>5835.2851318359417</v>
      </c>
      <c r="N18" s="532">
        <f>M18*2</f>
        <v>11670.570263671883</v>
      </c>
      <c r="O18" s="525">
        <f>SUM(K18:L18)</f>
        <v>16273.51867675782</v>
      </c>
      <c r="P18" s="109">
        <f>IF(O18-N18&gt;0,O18-N18, 0)</f>
        <v>4602.9484130859364</v>
      </c>
      <c r="Q18" s="7"/>
      <c r="R18" s="13"/>
      <c r="T18" s="202"/>
    </row>
    <row r="19" spans="1:25" ht="15" customHeight="1" thickBot="1" x14ac:dyDescent="0.3">
      <c r="A19" s="13"/>
      <c r="B19" s="6"/>
      <c r="C19" s="76" t="s">
        <v>267</v>
      </c>
      <c r="D19" s="527" t="s">
        <v>64</v>
      </c>
      <c r="E19" s="99">
        <v>2014</v>
      </c>
      <c r="F19" s="528">
        <v>0.1</v>
      </c>
      <c r="G19" s="106">
        <v>12285.2820663452</v>
      </c>
      <c r="H19" s="95">
        <v>13921.4324798584</v>
      </c>
      <c r="I19" s="95">
        <v>16957.825851440401</v>
      </c>
      <c r="J19" s="95">
        <v>9115.0311584472693</v>
      </c>
      <c r="K19" s="95">
        <v>10844.772888183599</v>
      </c>
      <c r="L19" s="529">
        <v>9427.3999443054199</v>
      </c>
      <c r="M19" s="531">
        <f>G19*(1-F19)</f>
        <v>11056.753859710681</v>
      </c>
      <c r="N19" s="83">
        <f>M19*3</f>
        <v>33170.261579132042</v>
      </c>
      <c r="O19" s="525">
        <f>SUM(J19:L19)</f>
        <v>29387.203990936287</v>
      </c>
      <c r="P19" s="533">
        <f>IF(O19-N19&gt;0,O19-N19, 0)</f>
        <v>0</v>
      </c>
      <c r="Q19" s="7"/>
      <c r="R19" s="13"/>
      <c r="T19" s="202"/>
    </row>
    <row r="20" spans="1:25" ht="15" customHeight="1" x14ac:dyDescent="0.25">
      <c r="A20" s="13"/>
      <c r="B20" s="6"/>
      <c r="C20" s="18"/>
      <c r="D20" s="18"/>
      <c r="E20" s="13"/>
      <c r="F20" s="22"/>
      <c r="G20" s="21"/>
      <c r="H20" s="21"/>
      <c r="I20" s="21"/>
      <c r="J20" s="21"/>
      <c r="K20" s="21"/>
      <c r="L20" s="21"/>
      <c r="M20" s="21"/>
      <c r="N20" s="21"/>
      <c r="O20" s="558"/>
      <c r="P20" s="21"/>
      <c r="Q20" s="7"/>
      <c r="R20" s="13"/>
    </row>
    <row r="21" spans="1:25" ht="15" customHeight="1" thickBot="1" x14ac:dyDescent="0.3">
      <c r="A21" s="13"/>
      <c r="B21" s="6"/>
      <c r="C21" s="562" t="s">
        <v>74</v>
      </c>
      <c r="D21" s="562"/>
      <c r="E21" s="562"/>
      <c r="F21" s="562"/>
      <c r="G21" s="562"/>
      <c r="H21" s="562"/>
      <c r="I21" s="562"/>
      <c r="J21" s="562"/>
      <c r="K21" s="562"/>
      <c r="L21" s="562"/>
      <c r="M21" s="562"/>
      <c r="N21" s="562"/>
      <c r="O21" s="562"/>
      <c r="P21" s="562"/>
      <c r="Q21" s="7"/>
      <c r="R21" s="13"/>
    </row>
    <row r="22" spans="1:25" ht="15" customHeight="1" x14ac:dyDescent="0.25">
      <c r="A22" s="13"/>
      <c r="B22" s="6"/>
      <c r="C22" s="563" t="s">
        <v>34</v>
      </c>
      <c r="D22" s="572" t="s">
        <v>54</v>
      </c>
      <c r="E22" s="565" t="s">
        <v>31</v>
      </c>
      <c r="F22" s="566"/>
      <c r="G22" s="565" t="s">
        <v>33</v>
      </c>
      <c r="H22" s="566"/>
      <c r="I22" s="566"/>
      <c r="J22" s="566"/>
      <c r="K22" s="566"/>
      <c r="L22" s="567"/>
      <c r="M22" s="568" t="s">
        <v>102</v>
      </c>
      <c r="N22" s="570" t="s">
        <v>83</v>
      </c>
      <c r="O22" s="571"/>
      <c r="P22" s="108" t="s">
        <v>119</v>
      </c>
      <c r="Q22" s="7"/>
      <c r="R22" s="13"/>
    </row>
    <row r="23" spans="1:25" ht="15" customHeight="1" thickBot="1" x14ac:dyDescent="0.3">
      <c r="A23" s="13"/>
      <c r="B23" s="6"/>
      <c r="C23" s="564"/>
      <c r="D23" s="573"/>
      <c r="E23" s="111" t="s">
        <v>32</v>
      </c>
      <c r="F23" s="112" t="s">
        <v>30</v>
      </c>
      <c r="G23" s="111">
        <v>2014</v>
      </c>
      <c r="H23" s="113">
        <v>2015</v>
      </c>
      <c r="I23" s="113">
        <v>2016</v>
      </c>
      <c r="J23" s="113">
        <v>2017</v>
      </c>
      <c r="K23" s="113">
        <v>2018</v>
      </c>
      <c r="L23" s="114">
        <v>2019</v>
      </c>
      <c r="M23" s="569"/>
      <c r="N23" s="115" t="s">
        <v>48</v>
      </c>
      <c r="O23" s="116" t="s">
        <v>121</v>
      </c>
      <c r="P23" s="68" t="s">
        <v>118</v>
      </c>
      <c r="Q23" s="7"/>
      <c r="R23" s="13"/>
      <c r="T23" s="202"/>
      <c r="U23" s="202"/>
      <c r="V23" s="202"/>
      <c r="W23" s="202"/>
      <c r="X23" s="202"/>
      <c r="Y23" s="202"/>
    </row>
    <row r="24" spans="1:25" ht="15" customHeight="1" thickBot="1" x14ac:dyDescent="0.3">
      <c r="A24" s="13"/>
      <c r="B24" s="6"/>
      <c r="C24" s="80" t="s">
        <v>4</v>
      </c>
      <c r="D24" s="123" t="s">
        <v>66</v>
      </c>
      <c r="E24" s="124">
        <v>2014</v>
      </c>
      <c r="F24" s="132">
        <v>0.1</v>
      </c>
      <c r="G24" s="206">
        <v>36248</v>
      </c>
      <c r="H24" s="206">
        <v>22809.30859375</v>
      </c>
      <c r="I24" s="206">
        <v>23349.701171875</v>
      </c>
      <c r="J24" s="206">
        <v>27514.87890625</v>
      </c>
      <c r="K24" s="206">
        <v>25883.904296875</v>
      </c>
      <c r="L24" s="207">
        <v>25938.41015625</v>
      </c>
      <c r="M24" s="125">
        <f>G24*(1-F24)</f>
        <v>32623.200000000001</v>
      </c>
      <c r="N24" s="84">
        <f>M24*3</f>
        <v>97869.6</v>
      </c>
      <c r="O24" s="126">
        <f>SUM(J24:L24)</f>
        <v>79337.193359375</v>
      </c>
      <c r="P24" s="127">
        <f>IF(O24-N24&gt;0,O24-N24, 0)</f>
        <v>0</v>
      </c>
      <c r="Q24" s="7"/>
      <c r="R24" s="13"/>
    </row>
    <row r="25" spans="1:25" ht="15" customHeight="1" x14ac:dyDescent="0.25">
      <c r="A25" s="13"/>
      <c r="B25" s="6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7"/>
      <c r="R25" s="13"/>
    </row>
    <row r="26" spans="1:25" ht="15" customHeight="1" thickBot="1" x14ac:dyDescent="0.3">
      <c r="A26" s="13"/>
      <c r="B26" s="6"/>
      <c r="C26" s="562" t="s">
        <v>75</v>
      </c>
      <c r="D26" s="562"/>
      <c r="E26" s="562"/>
      <c r="F26" s="562"/>
      <c r="G26" s="562"/>
      <c r="H26" s="562"/>
      <c r="I26" s="562"/>
      <c r="J26" s="562"/>
      <c r="K26" s="562"/>
      <c r="L26" s="562"/>
      <c r="M26" s="562"/>
      <c r="N26" s="562"/>
      <c r="O26" s="562"/>
      <c r="P26" s="562"/>
      <c r="Q26" s="7"/>
      <c r="R26" s="13"/>
      <c r="Y26" s="201"/>
    </row>
    <row r="27" spans="1:25" ht="15" customHeight="1" x14ac:dyDescent="0.25">
      <c r="A27" s="13"/>
      <c r="B27" s="6"/>
      <c r="C27" s="563" t="s">
        <v>34</v>
      </c>
      <c r="D27" s="572" t="s">
        <v>54</v>
      </c>
      <c r="E27" s="565" t="s">
        <v>31</v>
      </c>
      <c r="F27" s="566"/>
      <c r="G27" s="565" t="s">
        <v>33</v>
      </c>
      <c r="H27" s="566"/>
      <c r="I27" s="566"/>
      <c r="J27" s="566"/>
      <c r="K27" s="566"/>
      <c r="L27" s="567"/>
      <c r="M27" s="568" t="s">
        <v>102</v>
      </c>
      <c r="N27" s="570" t="s">
        <v>84</v>
      </c>
      <c r="O27" s="571"/>
      <c r="P27" s="108" t="s">
        <v>120</v>
      </c>
      <c r="Q27" s="7"/>
      <c r="R27" s="13"/>
    </row>
    <row r="28" spans="1:25" ht="15" customHeight="1" thickBot="1" x14ac:dyDescent="0.3">
      <c r="A28" s="13"/>
      <c r="B28" s="6"/>
      <c r="C28" s="564"/>
      <c r="D28" s="573"/>
      <c r="E28" s="111" t="s">
        <v>32</v>
      </c>
      <c r="F28" s="112" t="s">
        <v>30</v>
      </c>
      <c r="G28" s="111">
        <v>2014</v>
      </c>
      <c r="H28" s="113">
        <v>2015</v>
      </c>
      <c r="I28" s="113">
        <v>2016</v>
      </c>
      <c r="J28" s="113">
        <v>2017</v>
      </c>
      <c r="K28" s="113">
        <v>2018</v>
      </c>
      <c r="L28" s="114">
        <v>2019</v>
      </c>
      <c r="M28" s="569"/>
      <c r="N28" s="115" t="s">
        <v>47</v>
      </c>
      <c r="O28" s="116" t="s">
        <v>121</v>
      </c>
      <c r="P28" s="68" t="s">
        <v>118</v>
      </c>
      <c r="Q28" s="7"/>
      <c r="R28" s="13"/>
      <c r="T28" s="202"/>
      <c r="U28" s="202"/>
      <c r="V28" s="202"/>
      <c r="W28" s="202"/>
      <c r="X28" s="202"/>
      <c r="Y28" s="202"/>
    </row>
    <row r="29" spans="1:25" ht="15" customHeight="1" x14ac:dyDescent="0.25">
      <c r="A29" s="13"/>
      <c r="B29" s="6"/>
      <c r="C29" s="78" t="s">
        <v>35</v>
      </c>
      <c r="D29" s="117" t="s">
        <v>68</v>
      </c>
      <c r="E29" s="118">
        <v>2014</v>
      </c>
      <c r="F29" s="128">
        <v>0.05</v>
      </c>
      <c r="G29" s="119">
        <v>11416</v>
      </c>
      <c r="H29" s="94">
        <v>9270</v>
      </c>
      <c r="I29" s="94">
        <v>4978</v>
      </c>
      <c r="J29" s="94">
        <v>10543</v>
      </c>
      <c r="K29" s="94">
        <v>10749</v>
      </c>
      <c r="L29" s="120">
        <v>10165</v>
      </c>
      <c r="M29" s="121">
        <f>G29*(1-F29)</f>
        <v>10845.199999999999</v>
      </c>
      <c r="N29" s="82">
        <f>M29*2</f>
        <v>21690.399999999998</v>
      </c>
      <c r="O29" s="45">
        <f>SUM(K29:L29)</f>
        <v>20914</v>
      </c>
      <c r="P29" s="122">
        <f>IF(O29-N29&gt;0,O29-N29, 0)</f>
        <v>0</v>
      </c>
      <c r="Q29" s="7"/>
      <c r="R29" s="13"/>
    </row>
    <row r="30" spans="1:25" ht="15" customHeight="1" thickBot="1" x14ac:dyDescent="0.3">
      <c r="A30" s="13"/>
      <c r="B30" s="6"/>
      <c r="C30" s="76" t="s">
        <v>36</v>
      </c>
      <c r="D30" s="97" t="s">
        <v>68</v>
      </c>
      <c r="E30" s="99">
        <v>2014</v>
      </c>
      <c r="F30" s="130">
        <v>0.05</v>
      </c>
      <c r="G30" s="106">
        <v>17831</v>
      </c>
      <c r="H30" s="95">
        <v>19247</v>
      </c>
      <c r="I30" s="95">
        <v>24648</v>
      </c>
      <c r="J30" s="95">
        <v>16713</v>
      </c>
      <c r="K30" s="95">
        <v>16704</v>
      </c>
      <c r="L30" s="107">
        <v>15918</v>
      </c>
      <c r="M30" s="103">
        <f>G30*(1-F30)</f>
        <v>16939.45</v>
      </c>
      <c r="N30" s="83">
        <f>M30*2</f>
        <v>33878.9</v>
      </c>
      <c r="O30" s="101">
        <f>SUM(K30:L30)</f>
        <v>32622</v>
      </c>
      <c r="P30" s="110">
        <f>IF(O30-N30&gt;0,O30-N30, 0)</f>
        <v>0</v>
      </c>
      <c r="Q30" s="7"/>
      <c r="R30" s="13"/>
    </row>
    <row r="31" spans="1:25" ht="15" customHeight="1" thickBot="1" x14ac:dyDescent="0.3">
      <c r="B31" s="3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2"/>
    </row>
    <row r="33" spans="2:12" x14ac:dyDescent="0.25">
      <c r="B33" s="2"/>
      <c r="C33" t="s">
        <v>167</v>
      </c>
      <c r="L33" t="s">
        <v>271</v>
      </c>
    </row>
    <row r="34" spans="2:12" x14ac:dyDescent="0.25">
      <c r="B34" t="s">
        <v>78</v>
      </c>
      <c r="C34" t="s">
        <v>80</v>
      </c>
    </row>
    <row r="35" spans="2:12" x14ac:dyDescent="0.25">
      <c r="B35" t="s">
        <v>79</v>
      </c>
      <c r="C35" t="s">
        <v>81</v>
      </c>
    </row>
    <row r="37" spans="2:12" x14ac:dyDescent="0.25">
      <c r="B37" t="s">
        <v>240</v>
      </c>
    </row>
    <row r="38" spans="2:12" x14ac:dyDescent="0.25">
      <c r="B38" t="s">
        <v>241</v>
      </c>
    </row>
  </sheetData>
  <mergeCells count="29">
    <mergeCell ref="C5:P5"/>
    <mergeCell ref="C6:C7"/>
    <mergeCell ref="E6:F6"/>
    <mergeCell ref="G6:L6"/>
    <mergeCell ref="M6:M7"/>
    <mergeCell ref="N6:O6"/>
    <mergeCell ref="D6:D7"/>
    <mergeCell ref="C15:C16"/>
    <mergeCell ref="E15:F15"/>
    <mergeCell ref="G15:L15"/>
    <mergeCell ref="M15:M16"/>
    <mergeCell ref="N15:O15"/>
    <mergeCell ref="D15:D16"/>
    <mergeCell ref="B2:Q2"/>
    <mergeCell ref="C26:P26"/>
    <mergeCell ref="C27:C28"/>
    <mergeCell ref="E27:F27"/>
    <mergeCell ref="G27:L27"/>
    <mergeCell ref="M27:M28"/>
    <mergeCell ref="N27:O27"/>
    <mergeCell ref="D27:D28"/>
    <mergeCell ref="C21:P21"/>
    <mergeCell ref="C22:C23"/>
    <mergeCell ref="E22:F22"/>
    <mergeCell ref="G22:L22"/>
    <mergeCell ref="M22:M23"/>
    <mergeCell ref="N22:O22"/>
    <mergeCell ref="D22:D23"/>
    <mergeCell ref="C14:P14"/>
  </mergeCells>
  <pageMargins left="0.7" right="0.7" top="0.75" bottom="0.75" header="0.3" footer="0.3"/>
  <pageSetup paperSize="9" orientation="portrait" r:id="rId1"/>
  <ignoredErrors>
    <ignoredError sqref="O8 O10:O11 O29:O3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F07CA-2442-401A-91D6-6E973B980F23}">
  <dimension ref="A1:AC49"/>
  <sheetViews>
    <sheetView showGridLines="0" zoomScale="85" zoomScaleNormal="85" workbookViewId="0">
      <selection activeCell="L18" sqref="L18"/>
    </sheetView>
  </sheetViews>
  <sheetFormatPr defaultRowHeight="15" x14ac:dyDescent="0.25"/>
  <cols>
    <col min="1" max="2" width="2.85546875" customWidth="1"/>
    <col min="5" max="6" width="18.5703125" customWidth="1"/>
    <col min="7" max="16" width="13.5703125" customWidth="1"/>
    <col min="17" max="17" width="11.140625" customWidth="1"/>
    <col min="18" max="18" width="12.5703125" bestFit="1" customWidth="1"/>
    <col min="19" max="19" width="12.7109375" bestFit="1" customWidth="1"/>
    <col min="20" max="20" width="9" customWidth="1"/>
    <col min="21" max="21" width="12.5703125" bestFit="1" customWidth="1"/>
    <col min="22" max="22" width="15.42578125" customWidth="1"/>
    <col min="23" max="23" width="9.7109375" customWidth="1"/>
    <col min="24" max="24" width="13.28515625" customWidth="1"/>
    <col min="25" max="25" width="14.28515625" bestFit="1" customWidth="1"/>
    <col min="26" max="26" width="2.28515625" customWidth="1"/>
  </cols>
  <sheetData>
    <row r="1" spans="1:26" ht="15" customHeight="1" thickBot="1" x14ac:dyDescent="0.3"/>
    <row r="2" spans="1:26" ht="48.75" customHeight="1" thickBot="1" x14ac:dyDescent="0.3">
      <c r="B2" s="596" t="s">
        <v>249</v>
      </c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0"/>
      <c r="R2" s="560"/>
      <c r="S2" s="560"/>
      <c r="T2" s="561"/>
    </row>
    <row r="3" spans="1:26" ht="15" customHeight="1" thickBot="1" x14ac:dyDescent="0.3">
      <c r="U3" s="31"/>
      <c r="W3" s="31"/>
    </row>
    <row r="4" spans="1:26" ht="15" customHeight="1" thickBot="1" x14ac:dyDescent="0.3"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V4" s="244"/>
      <c r="W4" s="36"/>
      <c r="X4" s="36"/>
      <c r="Y4" s="36"/>
      <c r="Z4" s="37"/>
    </row>
    <row r="5" spans="1:26" ht="15" customHeight="1" thickBot="1" x14ac:dyDescent="0.3">
      <c r="A5" s="13"/>
      <c r="B5" s="6"/>
      <c r="C5" s="562" t="s">
        <v>72</v>
      </c>
      <c r="D5" s="562"/>
      <c r="E5" s="562"/>
      <c r="F5" s="562"/>
      <c r="G5" s="591">
        <v>2020</v>
      </c>
      <c r="H5" s="592"/>
      <c r="I5" s="593"/>
      <c r="J5" s="563">
        <v>2021</v>
      </c>
      <c r="K5" s="576"/>
      <c r="L5" s="577"/>
      <c r="M5" s="563">
        <v>2022</v>
      </c>
      <c r="N5" s="576"/>
      <c r="O5" s="577"/>
      <c r="P5" s="563">
        <v>2023</v>
      </c>
      <c r="Q5" s="576"/>
      <c r="R5" s="577"/>
      <c r="S5" s="563">
        <v>2024</v>
      </c>
      <c r="T5" s="576"/>
      <c r="U5" s="577"/>
      <c r="V5" s="240">
        <v>2025</v>
      </c>
      <c r="Z5" s="24"/>
    </row>
    <row r="6" spans="1:26" ht="15" customHeight="1" x14ac:dyDescent="0.25">
      <c r="A6" s="13"/>
      <c r="B6" s="6"/>
      <c r="C6" s="563" t="s">
        <v>51</v>
      </c>
      <c r="D6" s="584" t="s">
        <v>54</v>
      </c>
      <c r="E6" s="576" t="s">
        <v>97</v>
      </c>
      <c r="F6" s="587" t="s">
        <v>94</v>
      </c>
      <c r="G6" s="46" t="s">
        <v>103</v>
      </c>
      <c r="H6" s="589" t="s">
        <v>99</v>
      </c>
      <c r="I6" s="54" t="s">
        <v>111</v>
      </c>
      <c r="J6" s="60" t="s">
        <v>110</v>
      </c>
      <c r="K6" s="589" t="s">
        <v>100</v>
      </c>
      <c r="L6" s="54" t="s">
        <v>112</v>
      </c>
      <c r="M6" s="60" t="s">
        <v>113</v>
      </c>
      <c r="N6" s="578" t="s">
        <v>114</v>
      </c>
      <c r="O6" s="63" t="s">
        <v>115</v>
      </c>
      <c r="P6" s="60" t="s">
        <v>116</v>
      </c>
      <c r="Q6" s="578" t="s">
        <v>160</v>
      </c>
      <c r="R6" s="63" t="s">
        <v>161</v>
      </c>
      <c r="S6" s="239" t="s">
        <v>163</v>
      </c>
      <c r="T6" s="11" t="s">
        <v>170</v>
      </c>
      <c r="U6" s="242" t="s">
        <v>171</v>
      </c>
      <c r="V6" s="64" t="s">
        <v>242</v>
      </c>
      <c r="Z6" s="24"/>
    </row>
    <row r="7" spans="1:26" ht="15" customHeight="1" thickBot="1" x14ac:dyDescent="0.3">
      <c r="A7" s="13"/>
      <c r="B7" s="6"/>
      <c r="C7" s="594"/>
      <c r="D7" s="585"/>
      <c r="E7" s="586"/>
      <c r="F7" s="588"/>
      <c r="G7" s="65" t="s">
        <v>104</v>
      </c>
      <c r="H7" s="590"/>
      <c r="I7" s="66" t="s">
        <v>107</v>
      </c>
      <c r="J7" s="67" t="s">
        <v>105</v>
      </c>
      <c r="K7" s="590"/>
      <c r="L7" s="66" t="s">
        <v>106</v>
      </c>
      <c r="M7" s="252" t="s">
        <v>108</v>
      </c>
      <c r="N7" s="579"/>
      <c r="O7" s="241" t="s">
        <v>109</v>
      </c>
      <c r="P7" s="252" t="s">
        <v>159</v>
      </c>
      <c r="Q7" s="579"/>
      <c r="R7" s="241" t="s">
        <v>172</v>
      </c>
      <c r="S7" s="251" t="s">
        <v>164</v>
      </c>
      <c r="T7" s="243" t="s">
        <v>173</v>
      </c>
      <c r="U7" s="241" t="s">
        <v>174</v>
      </c>
      <c r="V7" s="251" t="s">
        <v>175</v>
      </c>
      <c r="W7" s="23"/>
      <c r="Z7" s="24"/>
    </row>
    <row r="8" spans="1:26" ht="15" customHeight="1" thickBot="1" x14ac:dyDescent="0.3">
      <c r="A8" s="13"/>
      <c r="B8" s="6"/>
      <c r="C8" s="78" t="s">
        <v>234</v>
      </c>
      <c r="D8" s="41" t="s">
        <v>69</v>
      </c>
      <c r="E8" s="79">
        <f>'19-01 base annual limits'!M8</f>
        <v>77694.495703124994</v>
      </c>
      <c r="F8" s="85">
        <f>'19-01 base annual limits'!P8</f>
        <v>4797.9851577759255</v>
      </c>
      <c r="G8" s="69">
        <f>E8</f>
        <v>77694.495703124994</v>
      </c>
      <c r="H8" s="43">
        <v>71058</v>
      </c>
      <c r="I8" s="70">
        <f>IF(H8-G8&gt;0, H8-G8, 0)</f>
        <v>0</v>
      </c>
      <c r="J8" s="69">
        <f>E8-F8-I8/2</f>
        <v>72896.510545349069</v>
      </c>
      <c r="K8" s="43">
        <v>75919</v>
      </c>
      <c r="L8" s="70">
        <f>IF(K8-J8&gt;0,K8-J8,0)</f>
        <v>3022.4894546509313</v>
      </c>
      <c r="M8" s="255"/>
      <c r="N8" s="256"/>
      <c r="O8" s="256"/>
      <c r="P8" s="289"/>
      <c r="Q8" s="256"/>
      <c r="R8" s="256"/>
      <c r="S8" s="289"/>
      <c r="T8" s="256"/>
      <c r="U8" s="256"/>
      <c r="V8" s="332"/>
      <c r="Z8" s="24"/>
    </row>
    <row r="9" spans="1:26" ht="15" customHeight="1" thickBot="1" x14ac:dyDescent="0.3">
      <c r="A9" s="13"/>
      <c r="B9" s="6"/>
      <c r="C9" s="307" t="s">
        <v>157</v>
      </c>
      <c r="D9" s="308" t="s">
        <v>66</v>
      </c>
      <c r="E9" s="51">
        <f>'19-01 base annual limits'!M9</f>
        <v>12394.699999999999</v>
      </c>
      <c r="F9" s="53">
        <f>'19-01 base annual limits'!P9</f>
        <v>0</v>
      </c>
      <c r="G9" s="55">
        <f>E9</f>
        <v>12394.699999999999</v>
      </c>
      <c r="H9" s="203">
        <v>3372</v>
      </c>
      <c r="I9" s="56">
        <f>IF(H9-G9&gt;0, H9-G9, 0)</f>
        <v>0</v>
      </c>
      <c r="J9" s="55">
        <f>E9-F9-I9/2</f>
        <v>12394.699999999999</v>
      </c>
      <c r="K9" s="203">
        <v>5490.234375</v>
      </c>
      <c r="L9" s="56">
        <f>IF(K9-J9&gt;0,K9-J9,0)</f>
        <v>0</v>
      </c>
      <c r="M9" s="253">
        <f>E9-I9/2-L9/2</f>
        <v>12394.699999999999</v>
      </c>
      <c r="N9" s="254">
        <v>9958.765625</v>
      </c>
      <c r="O9" s="290">
        <f>IF(N9-M9&gt;0,N9-M9,0)</f>
        <v>0</v>
      </c>
      <c r="P9" s="557">
        <f>E9-(L9/2)-(O9*1.25/2)</f>
        <v>12394.699999999999</v>
      </c>
      <c r="Q9" s="556">
        <v>8165.44287109375</v>
      </c>
      <c r="R9" s="291">
        <f>IF(Q9-P9&gt;0,Q9-P9,0)</f>
        <v>0</v>
      </c>
      <c r="S9" s="557">
        <f>E9-(R9*1.25/2)-(O9*1.25/2)</f>
        <v>12394.699999999999</v>
      </c>
      <c r="T9" s="296">
        <v>5814.47998046875</v>
      </c>
      <c r="U9" s="294">
        <f>IF(T9&gt;S9,T9-S9,0)</f>
        <v>0</v>
      </c>
      <c r="V9" s="333"/>
      <c r="Z9" s="24"/>
    </row>
    <row r="10" spans="1:26" ht="15" customHeight="1" x14ac:dyDescent="0.25">
      <c r="A10" s="13"/>
      <c r="B10" s="6"/>
      <c r="C10" s="75" t="s">
        <v>2</v>
      </c>
      <c r="D10" s="12" t="s">
        <v>64</v>
      </c>
      <c r="E10" s="51">
        <f>'19-01 base annual limits'!M10</f>
        <v>7524.073784426032</v>
      </c>
      <c r="F10" s="53">
        <f>'19-01 base annual limits'!P10</f>
        <v>0</v>
      </c>
      <c r="G10" s="55">
        <f>E10</f>
        <v>7524.073784426032</v>
      </c>
      <c r="H10" s="52">
        <v>2393</v>
      </c>
      <c r="I10" s="56">
        <f>IF(H10-G10&gt;0, H10-G10, 0)</f>
        <v>0</v>
      </c>
      <c r="J10" s="55">
        <f>E10-F10-I10/2</f>
        <v>7524.073784426032</v>
      </c>
      <c r="K10" s="52">
        <v>5806</v>
      </c>
      <c r="L10" s="61">
        <f>IF(K10-J10&gt;0,K10-J10,0)</f>
        <v>0</v>
      </c>
      <c r="M10" s="249"/>
      <c r="N10" s="249"/>
      <c r="O10" s="249"/>
      <c r="P10" s="249"/>
      <c r="Q10" s="249"/>
      <c r="R10" s="249"/>
      <c r="S10" s="249"/>
      <c r="T10" s="249"/>
      <c r="U10" s="249"/>
      <c r="V10" s="250"/>
      <c r="Z10" s="24"/>
    </row>
    <row r="11" spans="1:26" ht="15" customHeight="1" x14ac:dyDescent="0.25">
      <c r="A11" s="13"/>
      <c r="B11" s="6"/>
      <c r="C11" s="75" t="s">
        <v>11</v>
      </c>
      <c r="D11" s="12" t="s">
        <v>68</v>
      </c>
      <c r="E11" s="51">
        <f>'19-01 base annual limits'!M11</f>
        <v>10473.069644340148</v>
      </c>
      <c r="F11" s="53">
        <f>'19-01 base annual limits'!P11</f>
        <v>0</v>
      </c>
      <c r="G11" s="55">
        <f>E11</f>
        <v>10473.069644340148</v>
      </c>
      <c r="H11" s="52">
        <v>9681.17</v>
      </c>
      <c r="I11" s="56">
        <f>IF(H11-G11&gt;0, H11-G11, 0)</f>
        <v>0</v>
      </c>
      <c r="J11" s="55">
        <f>E11-F11-I11/2</f>
        <v>10473.069644340148</v>
      </c>
      <c r="K11" s="52">
        <v>9641</v>
      </c>
      <c r="L11" s="61">
        <f>IF(K11-J11&gt;0,K11-J11,0)</f>
        <v>0</v>
      </c>
      <c r="M11" s="249"/>
      <c r="N11" s="249"/>
      <c r="O11" s="249"/>
      <c r="P11" s="249"/>
      <c r="Q11" s="249"/>
      <c r="R11" s="348"/>
      <c r="S11" s="249"/>
      <c r="T11" s="249"/>
      <c r="U11" s="249"/>
      <c r="V11" s="250"/>
      <c r="Z11" s="24"/>
    </row>
    <row r="12" spans="1:26" ht="15" customHeight="1" thickBot="1" x14ac:dyDescent="0.3">
      <c r="A12" s="13"/>
      <c r="B12" s="6"/>
      <c r="C12" s="76" t="s">
        <v>10</v>
      </c>
      <c r="D12" s="19" t="s">
        <v>68</v>
      </c>
      <c r="E12" s="77">
        <f>'19-01 base annual limits'!M12</f>
        <v>33211.42578125</v>
      </c>
      <c r="F12" s="86">
        <f>'19-01 base annual limits'!P12</f>
        <v>1606.2421875</v>
      </c>
      <c r="G12" s="57">
        <f>E12</f>
        <v>33211.42578125</v>
      </c>
      <c r="H12" s="58">
        <v>30502</v>
      </c>
      <c r="I12" s="59">
        <f>IF(H12-G12&gt;0, H12-G12, 0)</f>
        <v>0</v>
      </c>
      <c r="J12" s="57">
        <f>E12-F12-I12/2</f>
        <v>31605.18359375</v>
      </c>
      <c r="K12" s="58">
        <v>29407</v>
      </c>
      <c r="L12" s="62">
        <f>IF(K12-J12&gt;0,K12-J12,0)</f>
        <v>0</v>
      </c>
      <c r="M12" s="249"/>
      <c r="N12" s="249"/>
      <c r="O12" s="249"/>
      <c r="P12" s="249"/>
      <c r="Q12" s="249"/>
      <c r="R12" s="249"/>
      <c r="S12" s="249"/>
      <c r="T12" s="249"/>
      <c r="U12" s="249"/>
      <c r="V12" s="250"/>
      <c r="Z12" s="24"/>
    </row>
    <row r="13" spans="1:26" ht="15" customHeight="1" thickBot="1" x14ac:dyDescent="0.3">
      <c r="A13" s="13"/>
      <c r="B13" s="6"/>
      <c r="C13" s="18"/>
      <c r="D13" s="18"/>
      <c r="E13" s="13"/>
      <c r="F13" s="20"/>
      <c r="G13" s="20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13"/>
      <c r="V13" s="13"/>
      <c r="Z13" s="24"/>
    </row>
    <row r="14" spans="1:26" ht="15" customHeight="1" thickBot="1" x14ac:dyDescent="0.3">
      <c r="A14" s="13"/>
      <c r="B14" s="6"/>
      <c r="C14" s="562" t="s">
        <v>73</v>
      </c>
      <c r="D14" s="562"/>
      <c r="E14" s="562"/>
      <c r="F14" s="562"/>
      <c r="G14" s="591">
        <v>2020</v>
      </c>
      <c r="H14" s="592"/>
      <c r="I14" s="593"/>
      <c r="J14" s="563">
        <v>2021</v>
      </c>
      <c r="K14" s="576"/>
      <c r="L14" s="577"/>
      <c r="M14" s="597"/>
      <c r="N14" s="595"/>
      <c r="O14" s="595"/>
      <c r="P14" s="595"/>
      <c r="Q14" s="595"/>
      <c r="R14" s="595"/>
      <c r="S14" s="350"/>
      <c r="T14" s="13"/>
      <c r="V14" s="13"/>
      <c r="Z14" s="24"/>
    </row>
    <row r="15" spans="1:26" ht="15" customHeight="1" x14ac:dyDescent="0.25">
      <c r="A15" s="13"/>
      <c r="B15" s="6"/>
      <c r="C15" s="563" t="s">
        <v>34</v>
      </c>
      <c r="D15" s="584" t="s">
        <v>54</v>
      </c>
      <c r="E15" s="576" t="s">
        <v>97</v>
      </c>
      <c r="F15" s="587" t="s">
        <v>94</v>
      </c>
      <c r="G15" s="46" t="s">
        <v>103</v>
      </c>
      <c r="H15" s="589" t="s">
        <v>99</v>
      </c>
      <c r="I15" s="54" t="s">
        <v>111</v>
      </c>
      <c r="J15" s="60" t="s">
        <v>110</v>
      </c>
      <c r="K15" s="589" t="s">
        <v>100</v>
      </c>
      <c r="L15" s="54" t="s">
        <v>112</v>
      </c>
      <c r="M15" s="246"/>
      <c r="N15" s="583"/>
      <c r="O15" s="247"/>
      <c r="P15" s="246"/>
      <c r="Q15" s="247"/>
      <c r="R15" s="247"/>
      <c r="S15" s="247"/>
      <c r="T15" s="13"/>
      <c r="V15" s="13"/>
      <c r="Z15" s="24"/>
    </row>
    <row r="16" spans="1:26" ht="15" customHeight="1" thickBot="1" x14ac:dyDescent="0.3">
      <c r="A16" s="13"/>
      <c r="B16" s="6"/>
      <c r="C16" s="594"/>
      <c r="D16" s="585"/>
      <c r="E16" s="586"/>
      <c r="F16" s="588"/>
      <c r="G16" s="65" t="s">
        <v>104</v>
      </c>
      <c r="H16" s="590"/>
      <c r="I16" s="66" t="s">
        <v>107</v>
      </c>
      <c r="J16" s="67" t="s">
        <v>105</v>
      </c>
      <c r="K16" s="590"/>
      <c r="L16" s="66" t="s">
        <v>106</v>
      </c>
      <c r="M16" s="248"/>
      <c r="N16" s="583"/>
      <c r="O16" s="248"/>
      <c r="P16" s="248"/>
      <c r="Q16" s="248"/>
      <c r="R16" s="248"/>
      <c r="S16" s="248"/>
      <c r="T16" s="13"/>
      <c r="V16" s="13"/>
      <c r="Z16" s="24"/>
    </row>
    <row r="17" spans="1:26" ht="15" customHeight="1" x14ac:dyDescent="0.25">
      <c r="A17" s="13"/>
      <c r="B17" s="6"/>
      <c r="C17" s="75" t="s">
        <v>5</v>
      </c>
      <c r="D17" s="12" t="s">
        <v>66</v>
      </c>
      <c r="E17" s="51">
        <f>'19-01 base annual limits'!M17</f>
        <v>7762.4101867675763</v>
      </c>
      <c r="F17" s="53">
        <f>'19-01 base annual limits'!P17</f>
        <v>2460.7699279785738</v>
      </c>
      <c r="G17" s="55">
        <f>E17</f>
        <v>7762.4101867675763</v>
      </c>
      <c r="H17" s="535">
        <v>7481.0001220703098</v>
      </c>
      <c r="I17" s="56">
        <f>IF(H17-G17&gt;0, H17-G17, 0)</f>
        <v>0</v>
      </c>
      <c r="J17" s="55">
        <f>E17-F17-I17/2</f>
        <v>5301.6402587890025</v>
      </c>
      <c r="K17" s="52">
        <v>5255</v>
      </c>
      <c r="L17" s="56">
        <f>IF(K17-J17&gt;0,K17-J17,0)</f>
        <v>0</v>
      </c>
      <c r="M17" s="249"/>
      <c r="N17" s="249"/>
      <c r="O17" s="249"/>
      <c r="P17" s="249"/>
      <c r="Q17" s="249"/>
      <c r="R17" s="249"/>
      <c r="S17" s="250"/>
      <c r="T17" s="13"/>
      <c r="V17" s="17"/>
      <c r="Z17" s="24"/>
    </row>
    <row r="18" spans="1:26" ht="15" customHeight="1" x14ac:dyDescent="0.25">
      <c r="A18" s="13"/>
      <c r="B18" s="6"/>
      <c r="C18" s="526" t="s">
        <v>10</v>
      </c>
      <c r="D18" s="537" t="s">
        <v>68</v>
      </c>
      <c r="E18" s="538">
        <f>'19-01 base annual limits'!M18</f>
        <v>5835.2851318359417</v>
      </c>
      <c r="F18" s="53">
        <f>'19-01 base annual limits'!P18</f>
        <v>4602.9484130859364</v>
      </c>
      <c r="G18" s="55">
        <f>E18</f>
        <v>5835.2851318359417</v>
      </c>
      <c r="H18" s="535">
        <v>8126</v>
      </c>
      <c r="I18" s="56">
        <f>IF(H18-G18&gt;0, H18-G18, 0)</f>
        <v>2290.7148681640583</v>
      </c>
      <c r="J18" s="55">
        <f>E18-F18-I18/2</f>
        <v>86.979284667976117</v>
      </c>
      <c r="K18" s="52">
        <v>3778</v>
      </c>
      <c r="L18" s="56">
        <f>IF(K18-J18&gt;0,K18-J18,0)</f>
        <v>3691.0207153320239</v>
      </c>
      <c r="M18" s="249"/>
      <c r="N18" s="249"/>
      <c r="O18" s="249"/>
      <c r="P18" s="249"/>
      <c r="Q18" s="249"/>
      <c r="R18" s="249"/>
      <c r="S18" s="250"/>
      <c r="T18" s="13"/>
      <c r="V18" s="17"/>
      <c r="Z18" s="24"/>
    </row>
    <row r="19" spans="1:26" ht="15" customHeight="1" thickBot="1" x14ac:dyDescent="0.3">
      <c r="A19" s="13"/>
      <c r="B19" s="6"/>
      <c r="C19" s="76" t="s">
        <v>267</v>
      </c>
      <c r="D19" s="19" t="s">
        <v>64</v>
      </c>
      <c r="E19" s="77">
        <f>'19-01 base annual limits'!M19</f>
        <v>11056.753859710681</v>
      </c>
      <c r="F19" s="534">
        <f>'19-01 base annual limits'!P19</f>
        <v>0</v>
      </c>
      <c r="G19" s="57">
        <f>E19</f>
        <v>11056.753859710681</v>
      </c>
      <c r="H19" s="58">
        <v>9074.6200218200702</v>
      </c>
      <c r="I19" s="536">
        <f>IF(H19-G19&gt;0, H19-G19, 0)</f>
        <v>0</v>
      </c>
      <c r="J19" s="57">
        <f>E19-F19-I19/2</f>
        <v>11056.753859710681</v>
      </c>
      <c r="K19" s="58">
        <v>9868</v>
      </c>
      <c r="L19" s="59">
        <f>IF(K19-J19&gt;0,K19-J19,0)</f>
        <v>0</v>
      </c>
      <c r="M19" s="249"/>
      <c r="N19" s="249"/>
      <c r="O19" s="249"/>
      <c r="P19" s="249"/>
      <c r="Q19" s="249"/>
      <c r="R19" s="249"/>
      <c r="S19" s="250"/>
      <c r="T19" s="13"/>
      <c r="V19" s="13"/>
      <c r="Z19" s="24"/>
    </row>
    <row r="20" spans="1:26" ht="15" customHeight="1" thickBot="1" x14ac:dyDescent="0.3">
      <c r="A20" s="13"/>
      <c r="B20" s="6"/>
      <c r="C20" s="166"/>
      <c r="D20" s="300"/>
      <c r="E20" s="13"/>
      <c r="F20" s="539"/>
      <c r="G20" s="22"/>
      <c r="H20" s="21"/>
      <c r="I20" s="540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3"/>
      <c r="V20" s="13"/>
      <c r="Z20" s="24"/>
    </row>
    <row r="21" spans="1:26" ht="15" customHeight="1" thickBot="1" x14ac:dyDescent="0.3">
      <c r="A21" s="13"/>
      <c r="B21" s="6"/>
      <c r="C21" s="562" t="s">
        <v>74</v>
      </c>
      <c r="D21" s="562"/>
      <c r="E21" s="562"/>
      <c r="F21" s="562"/>
      <c r="G21" s="591">
        <v>2020</v>
      </c>
      <c r="H21" s="592"/>
      <c r="I21" s="593"/>
      <c r="J21" s="563">
        <v>2021</v>
      </c>
      <c r="K21" s="576"/>
      <c r="L21" s="577"/>
      <c r="M21" s="563">
        <v>2022</v>
      </c>
      <c r="N21" s="576"/>
      <c r="O21" s="577"/>
      <c r="P21" s="563">
        <v>2023</v>
      </c>
      <c r="Q21" s="576"/>
      <c r="R21" s="577"/>
      <c r="S21" s="563">
        <v>2024</v>
      </c>
      <c r="T21" s="576"/>
      <c r="U21" s="577"/>
      <c r="V21" s="563">
        <v>2025</v>
      </c>
      <c r="W21" s="576"/>
      <c r="X21" s="577"/>
      <c r="Y21" s="240">
        <v>2026</v>
      </c>
      <c r="Z21" s="24"/>
    </row>
    <row r="22" spans="1:26" ht="15" customHeight="1" x14ac:dyDescent="0.25">
      <c r="A22" s="13"/>
      <c r="B22" s="6"/>
      <c r="C22" s="563" t="s">
        <v>34</v>
      </c>
      <c r="D22" s="584" t="s">
        <v>54</v>
      </c>
      <c r="E22" s="576" t="s">
        <v>97</v>
      </c>
      <c r="F22" s="587" t="s">
        <v>95</v>
      </c>
      <c r="G22" s="46" t="s">
        <v>103</v>
      </c>
      <c r="H22" s="589" t="s">
        <v>99</v>
      </c>
      <c r="I22" s="54" t="s">
        <v>111</v>
      </c>
      <c r="J22" s="60" t="s">
        <v>110</v>
      </c>
      <c r="K22" s="589" t="s">
        <v>100</v>
      </c>
      <c r="L22" s="54" t="s">
        <v>112</v>
      </c>
      <c r="M22" s="60" t="s">
        <v>113</v>
      </c>
      <c r="N22" s="578" t="s">
        <v>114</v>
      </c>
      <c r="O22" s="63" t="s">
        <v>115</v>
      </c>
      <c r="P22" s="60" t="s">
        <v>116</v>
      </c>
      <c r="Q22" s="578" t="s">
        <v>160</v>
      </c>
      <c r="R22" s="63" t="s">
        <v>161</v>
      </c>
      <c r="S22" s="239" t="s">
        <v>163</v>
      </c>
      <c r="T22" s="578" t="s">
        <v>170</v>
      </c>
      <c r="U22" s="242" t="s">
        <v>171</v>
      </c>
      <c r="V22" s="64" t="s">
        <v>242</v>
      </c>
      <c r="W22" s="64" t="s">
        <v>243</v>
      </c>
      <c r="X22" s="64" t="s">
        <v>244</v>
      </c>
      <c r="Y22" s="64" t="s">
        <v>245</v>
      </c>
      <c r="Z22" s="24"/>
    </row>
    <row r="23" spans="1:26" ht="15" customHeight="1" thickBot="1" x14ac:dyDescent="0.3">
      <c r="A23" s="13"/>
      <c r="B23" s="6"/>
      <c r="C23" s="594"/>
      <c r="D23" s="585"/>
      <c r="E23" s="586"/>
      <c r="F23" s="588"/>
      <c r="G23" s="65" t="s">
        <v>104</v>
      </c>
      <c r="H23" s="590"/>
      <c r="I23" s="66" t="s">
        <v>107</v>
      </c>
      <c r="J23" s="67" t="s">
        <v>105</v>
      </c>
      <c r="K23" s="590"/>
      <c r="L23" s="66" t="s">
        <v>106</v>
      </c>
      <c r="M23" s="67" t="s">
        <v>108</v>
      </c>
      <c r="N23" s="579"/>
      <c r="O23" s="66" t="s">
        <v>109</v>
      </c>
      <c r="P23" s="67" t="s">
        <v>159</v>
      </c>
      <c r="Q23" s="579"/>
      <c r="R23" s="66" t="s">
        <v>162</v>
      </c>
      <c r="S23" s="295" t="s">
        <v>164</v>
      </c>
      <c r="T23" s="579"/>
      <c r="U23" s="241" t="s">
        <v>174</v>
      </c>
      <c r="V23" s="251" t="s">
        <v>175</v>
      </c>
      <c r="W23" s="241" t="s">
        <v>246</v>
      </c>
      <c r="X23" s="251" t="s">
        <v>247</v>
      </c>
      <c r="Y23" s="452" t="s">
        <v>248</v>
      </c>
      <c r="Z23" s="24"/>
    </row>
    <row r="24" spans="1:26" ht="15" customHeight="1" thickBot="1" x14ac:dyDescent="0.3">
      <c r="A24" s="13"/>
      <c r="B24" s="6"/>
      <c r="C24" s="80" t="s">
        <v>4</v>
      </c>
      <c r="D24" s="165" t="s">
        <v>66</v>
      </c>
      <c r="E24" s="81">
        <f>'19-01 base annual limits'!M24</f>
        <v>32623.200000000001</v>
      </c>
      <c r="F24" s="87">
        <f>'19-01 base annual limits'!P24</f>
        <v>0</v>
      </c>
      <c r="G24" s="72">
        <f>E24</f>
        <v>32623.200000000001</v>
      </c>
      <c r="H24" s="204">
        <f>'19-01 annual limits'!I15</f>
        <v>18837.794921875</v>
      </c>
      <c r="I24" s="74">
        <f>IF(H24-G24&gt;0, H24-G24, 0)</f>
        <v>0</v>
      </c>
      <c r="J24" s="334">
        <f>E24-F24-I24/2</f>
        <v>32623.200000000001</v>
      </c>
      <c r="K24" s="204">
        <f>'19-01 annual limits'!J15</f>
        <v>20313.146484375</v>
      </c>
      <c r="L24" s="74">
        <f>IF(K24-J24&gt;0,K24-J24,0)</f>
        <v>0</v>
      </c>
      <c r="M24" s="334">
        <f>E24-I24/2-L24/2</f>
        <v>32623.200000000001</v>
      </c>
      <c r="N24" s="73">
        <f>'19-01 annual limits'!K15</f>
        <v>21080</v>
      </c>
      <c r="O24" s="294">
        <f>IF(N24-M24&gt;0,N24-M24,0)</f>
        <v>0</v>
      </c>
      <c r="P24" s="335">
        <f>E24-(L24/2)-(O24/2)</f>
        <v>32623.200000000001</v>
      </c>
      <c r="Q24" s="336">
        <v>21452.9296875</v>
      </c>
      <c r="R24" s="294">
        <f>IF(Q24-P24&gt;0,Q24-P24,0)</f>
        <v>0</v>
      </c>
      <c r="S24" s="335">
        <f>E24-(R24/2)-(O24/2)</f>
        <v>32623.200000000001</v>
      </c>
      <c r="T24" s="337">
        <v>26578.80078125</v>
      </c>
      <c r="U24" s="74">
        <f>IF(T24-S24&gt;0,T24-S24,0)</f>
        <v>0</v>
      </c>
      <c r="V24" s="253">
        <f>E24-U24/2-R24/2</f>
        <v>32623.200000000001</v>
      </c>
      <c r="W24" s="337">
        <f>T24</f>
        <v>26578.80078125</v>
      </c>
      <c r="X24" s="74">
        <f>IF(W24-V24&gt;0,W24-V24,0)</f>
        <v>0</v>
      </c>
      <c r="Y24" s="253">
        <f>E24-X24/2-U24/2</f>
        <v>32623.200000000001</v>
      </c>
      <c r="Z24" s="24"/>
    </row>
    <row r="25" spans="1:26" ht="15" customHeight="1" thickBot="1" x14ac:dyDescent="0.3">
      <c r="A25" s="13"/>
      <c r="B25" s="6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293"/>
      <c r="Q25" s="13"/>
      <c r="R25" s="13"/>
      <c r="S25" s="13"/>
      <c r="T25" s="13"/>
      <c r="V25" s="13"/>
      <c r="Z25" s="24"/>
    </row>
    <row r="26" spans="1:26" ht="15" customHeight="1" thickBot="1" x14ac:dyDescent="0.3">
      <c r="A26" s="13"/>
      <c r="B26" s="6"/>
      <c r="C26" s="562" t="s">
        <v>75</v>
      </c>
      <c r="D26" s="562"/>
      <c r="E26" s="562"/>
      <c r="F26" s="562"/>
      <c r="G26" s="591">
        <v>2020</v>
      </c>
      <c r="H26" s="592"/>
      <c r="I26" s="593"/>
      <c r="J26" s="563">
        <v>2021</v>
      </c>
      <c r="K26" s="576"/>
      <c r="L26" s="577"/>
      <c r="M26" s="595"/>
      <c r="N26" s="595"/>
      <c r="O26" s="595"/>
      <c r="P26" s="595"/>
      <c r="Q26" s="595"/>
      <c r="R26" s="595"/>
      <c r="S26" s="245"/>
      <c r="T26" s="13"/>
      <c r="V26" s="13"/>
      <c r="Z26" s="24"/>
    </row>
    <row r="27" spans="1:26" ht="15" customHeight="1" x14ac:dyDescent="0.25">
      <c r="A27" s="13"/>
      <c r="B27" s="6"/>
      <c r="C27" s="563" t="s">
        <v>34</v>
      </c>
      <c r="D27" s="584" t="s">
        <v>54</v>
      </c>
      <c r="E27" s="576" t="s">
        <v>97</v>
      </c>
      <c r="F27" s="587" t="s">
        <v>98</v>
      </c>
      <c r="G27" s="46" t="s">
        <v>103</v>
      </c>
      <c r="H27" s="589" t="s">
        <v>99</v>
      </c>
      <c r="I27" s="54" t="s">
        <v>111</v>
      </c>
      <c r="J27" s="60" t="s">
        <v>110</v>
      </c>
      <c r="K27" s="589" t="s">
        <v>100</v>
      </c>
      <c r="L27" s="54" t="s">
        <v>112</v>
      </c>
      <c r="M27" s="246"/>
      <c r="N27" s="583"/>
      <c r="O27" s="247"/>
      <c r="P27" s="246"/>
      <c r="Q27" s="247"/>
      <c r="R27" s="247"/>
      <c r="S27" s="247"/>
      <c r="T27" s="13"/>
      <c r="V27" s="13"/>
      <c r="Z27" s="24"/>
    </row>
    <row r="28" spans="1:26" ht="15" customHeight="1" thickBot="1" x14ac:dyDescent="0.3">
      <c r="A28" s="13"/>
      <c r="B28" s="6"/>
      <c r="C28" s="594"/>
      <c r="D28" s="585"/>
      <c r="E28" s="586"/>
      <c r="F28" s="588"/>
      <c r="G28" s="65" t="s">
        <v>104</v>
      </c>
      <c r="H28" s="590"/>
      <c r="I28" s="66" t="s">
        <v>107</v>
      </c>
      <c r="J28" s="67" t="s">
        <v>105</v>
      </c>
      <c r="K28" s="590"/>
      <c r="L28" s="66" t="s">
        <v>106</v>
      </c>
      <c r="M28" s="248"/>
      <c r="N28" s="583"/>
      <c r="O28" s="248"/>
      <c r="P28" s="248"/>
      <c r="Q28" s="248"/>
      <c r="R28" s="248"/>
      <c r="S28" s="248"/>
      <c r="T28" s="13"/>
      <c r="V28" s="13"/>
      <c r="Z28" s="24"/>
    </row>
    <row r="29" spans="1:26" ht="15" customHeight="1" x14ac:dyDescent="0.25">
      <c r="A29" s="13"/>
      <c r="B29" s="6"/>
      <c r="C29" s="78" t="s">
        <v>35</v>
      </c>
      <c r="D29" s="41" t="s">
        <v>68</v>
      </c>
      <c r="E29" s="79">
        <f>'19-01 base annual limits'!M29</f>
        <v>10845.199999999999</v>
      </c>
      <c r="F29" s="85">
        <f>'19-01 base annual limits'!P29</f>
        <v>0</v>
      </c>
      <c r="G29" s="69">
        <f>E29</f>
        <v>10845.199999999999</v>
      </c>
      <c r="H29" s="43">
        <v>10696.51953125</v>
      </c>
      <c r="I29" s="70">
        <f>IF(H29-G29&gt;0, H29-G29, 0)</f>
        <v>0</v>
      </c>
      <c r="J29" s="69">
        <f>E29-F29-I29/2</f>
        <v>10845.199999999999</v>
      </c>
      <c r="K29" s="43">
        <v>7085</v>
      </c>
      <c r="L29" s="71">
        <f>IF(K29-J29&gt;0,K29-J29,0)</f>
        <v>0</v>
      </c>
      <c r="M29" s="249"/>
      <c r="N29" s="249"/>
      <c r="O29" s="249"/>
      <c r="P29" s="249"/>
      <c r="Q29" s="249"/>
      <c r="R29" s="249"/>
      <c r="S29" s="250"/>
      <c r="T29" s="13"/>
      <c r="V29" s="13"/>
      <c r="Z29" s="24"/>
    </row>
    <row r="30" spans="1:26" ht="15" customHeight="1" thickBot="1" x14ac:dyDescent="0.3">
      <c r="A30" s="13"/>
      <c r="B30" s="6"/>
      <c r="C30" s="76" t="s">
        <v>36</v>
      </c>
      <c r="D30" s="19" t="s">
        <v>68</v>
      </c>
      <c r="E30" s="77">
        <f>'19-01 base annual limits'!M30</f>
        <v>16939.45</v>
      </c>
      <c r="F30" s="86">
        <f>'19-01 base annual limits'!P30</f>
        <v>0</v>
      </c>
      <c r="G30" s="57">
        <f>E30</f>
        <v>16939.45</v>
      </c>
      <c r="H30" s="58">
        <v>15180.9072265625</v>
      </c>
      <c r="I30" s="59">
        <f>IF(H30-G30&gt;0, H30-G30, 0)</f>
        <v>0</v>
      </c>
      <c r="J30" s="57">
        <f>E30-F30-I30/2</f>
        <v>16939.45</v>
      </c>
      <c r="K30" s="58">
        <v>8928</v>
      </c>
      <c r="L30" s="62">
        <f>IF(K30-J30&gt;0,K30-J30,0)</f>
        <v>0</v>
      </c>
      <c r="M30" s="249"/>
      <c r="N30" s="249"/>
      <c r="O30" s="249"/>
      <c r="P30" s="249"/>
      <c r="Q30" s="249"/>
      <c r="R30" s="249"/>
      <c r="S30" s="250"/>
      <c r="T30" s="13"/>
      <c r="V30" s="13"/>
      <c r="Z30" s="24"/>
    </row>
    <row r="31" spans="1:26" ht="15" customHeight="1" thickBot="1" x14ac:dyDescent="0.3">
      <c r="B31" s="3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Z31" s="32"/>
    </row>
    <row r="32" spans="1:26" x14ac:dyDescent="0.25">
      <c r="X32" s="36"/>
      <c r="Y32" s="36"/>
      <c r="Z32" s="36"/>
    </row>
    <row r="33" spans="2:29" ht="15.75" thickBot="1" x14ac:dyDescent="0.3">
      <c r="C33" t="s">
        <v>265</v>
      </c>
      <c r="G33" s="2"/>
      <c r="H33" t="s">
        <v>167</v>
      </c>
      <c r="T33" s="25"/>
      <c r="V33" s="25"/>
      <c r="W33" s="25"/>
      <c r="X33" s="25"/>
      <c r="Y33" s="25"/>
      <c r="Z33" s="25"/>
      <c r="AA33" s="25"/>
      <c r="AB33" s="25"/>
      <c r="AC33" s="25"/>
    </row>
    <row r="34" spans="2:29" ht="15.75" thickBot="1" x14ac:dyDescent="0.3">
      <c r="B34" t="s">
        <v>78</v>
      </c>
      <c r="C34" t="s">
        <v>80</v>
      </c>
      <c r="G34" s="292"/>
      <c r="H34" s="288" t="s">
        <v>215</v>
      </c>
    </row>
    <row r="35" spans="2:29" x14ac:dyDescent="0.25">
      <c r="B35" t="s">
        <v>79</v>
      </c>
      <c r="C35" t="s">
        <v>81</v>
      </c>
    </row>
    <row r="37" spans="2:29" x14ac:dyDescent="0.25">
      <c r="C37" s="33" t="s">
        <v>54</v>
      </c>
      <c r="D37" s="34"/>
      <c r="E37" s="34"/>
      <c r="F37" s="34"/>
    </row>
    <row r="38" spans="2:29" x14ac:dyDescent="0.25">
      <c r="C38" s="25" t="s">
        <v>92</v>
      </c>
      <c r="D38" s="14" t="s">
        <v>93</v>
      </c>
      <c r="E38" s="25"/>
      <c r="F38" s="25"/>
      <c r="G38" s="25"/>
    </row>
    <row r="39" spans="2:29" x14ac:dyDescent="0.25">
      <c r="C39" s="1" t="s">
        <v>85</v>
      </c>
      <c r="D39" t="s">
        <v>86</v>
      </c>
    </row>
    <row r="40" spans="2:29" x14ac:dyDescent="0.25">
      <c r="C40" s="1" t="s">
        <v>87</v>
      </c>
      <c r="D40" t="s">
        <v>88</v>
      </c>
    </row>
    <row r="42" spans="2:29" x14ac:dyDescent="0.25">
      <c r="C42" s="1" t="s">
        <v>89</v>
      </c>
      <c r="D42" t="s">
        <v>165</v>
      </c>
    </row>
    <row r="43" spans="2:29" x14ac:dyDescent="0.25">
      <c r="C43" s="1" t="s">
        <v>90</v>
      </c>
      <c r="D43" t="s">
        <v>166</v>
      </c>
    </row>
    <row r="44" spans="2:29" x14ac:dyDescent="0.25">
      <c r="C44" s="1" t="s">
        <v>91</v>
      </c>
      <c r="D44" t="s">
        <v>169</v>
      </c>
    </row>
    <row r="47" spans="2:29" s="13" customFormat="1" ht="15.75" thickBot="1" x14ac:dyDescent="0.3"/>
    <row r="48" spans="2:29" s="13" customFormat="1" ht="21" customHeight="1" x14ac:dyDescent="0.35">
      <c r="B48" s="27" t="s">
        <v>45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9"/>
    </row>
    <row r="49" spans="2:16" s="13" customFormat="1" ht="103.5" customHeight="1" thickBot="1" x14ac:dyDescent="0.3">
      <c r="B49" s="580" t="s">
        <v>46</v>
      </c>
      <c r="C49" s="581"/>
      <c r="D49" s="581"/>
      <c r="E49" s="581"/>
      <c r="F49" s="581"/>
      <c r="G49" s="581"/>
      <c r="H49" s="581"/>
      <c r="I49" s="581"/>
      <c r="J49" s="581"/>
      <c r="K49" s="581"/>
      <c r="L49" s="581"/>
      <c r="M49" s="581"/>
      <c r="N49" s="581"/>
      <c r="O49" s="581"/>
      <c r="P49" s="582"/>
    </row>
  </sheetData>
  <mergeCells count="56">
    <mergeCell ref="C14:F14"/>
    <mergeCell ref="G14:I14"/>
    <mergeCell ref="J14:L14"/>
    <mergeCell ref="M14:O14"/>
    <mergeCell ref="C6:C7"/>
    <mergeCell ref="D6:D7"/>
    <mergeCell ref="E6:E7"/>
    <mergeCell ref="F6:F7"/>
    <mergeCell ref="H6:H7"/>
    <mergeCell ref="B2:T2"/>
    <mergeCell ref="C5:F5"/>
    <mergeCell ref="G5:I5"/>
    <mergeCell ref="J5:L5"/>
    <mergeCell ref="M5:O5"/>
    <mergeCell ref="P5:R5"/>
    <mergeCell ref="S5:U5"/>
    <mergeCell ref="C27:C28"/>
    <mergeCell ref="D27:D28"/>
    <mergeCell ref="E27:E28"/>
    <mergeCell ref="F27:F28"/>
    <mergeCell ref="H27:H28"/>
    <mergeCell ref="C15:C16"/>
    <mergeCell ref="D15:D16"/>
    <mergeCell ref="E15:E16"/>
    <mergeCell ref="F15:F16"/>
    <mergeCell ref="H15:H16"/>
    <mergeCell ref="P14:R14"/>
    <mergeCell ref="P21:R21"/>
    <mergeCell ref="P26:R26"/>
    <mergeCell ref="N6:N7"/>
    <mergeCell ref="N15:N16"/>
    <mergeCell ref="N22:N23"/>
    <mergeCell ref="M26:O26"/>
    <mergeCell ref="Q6:Q7"/>
    <mergeCell ref="K15:K16"/>
    <mergeCell ref="K6:K7"/>
    <mergeCell ref="J26:L26"/>
    <mergeCell ref="J21:L21"/>
    <mergeCell ref="M21:O21"/>
    <mergeCell ref="K22:K23"/>
    <mergeCell ref="V21:X21"/>
    <mergeCell ref="Q22:Q23"/>
    <mergeCell ref="T22:T23"/>
    <mergeCell ref="B49:P49"/>
    <mergeCell ref="N27:N28"/>
    <mergeCell ref="D22:D23"/>
    <mergeCell ref="E22:E23"/>
    <mergeCell ref="F22:F23"/>
    <mergeCell ref="H22:H23"/>
    <mergeCell ref="K27:K28"/>
    <mergeCell ref="S21:U21"/>
    <mergeCell ref="C21:F21"/>
    <mergeCell ref="G21:I21"/>
    <mergeCell ref="C26:F26"/>
    <mergeCell ref="G26:I26"/>
    <mergeCell ref="C22:C23"/>
  </mergeCells>
  <conditionalFormatting sqref="G8:G12 J8:J12 M9 S9 G17:G19 J17:J19 G24 J24 M24 G29:G30 J29:J30">
    <cfRule type="expression" dxfId="43" priority="7">
      <formula>G8&lt;0</formula>
    </cfRule>
  </conditionalFormatting>
  <conditionalFormatting sqref="P9">
    <cfRule type="expression" dxfId="42" priority="6">
      <formula>P9&lt;0</formula>
    </cfRule>
  </conditionalFormatting>
  <conditionalFormatting sqref="P24">
    <cfRule type="expression" dxfId="41" priority="3">
      <formula>P24&lt;0</formula>
    </cfRule>
  </conditionalFormatting>
  <conditionalFormatting sqref="S24">
    <cfRule type="expression" dxfId="40" priority="2">
      <formula>S24&lt;0</formula>
    </cfRule>
  </conditionalFormatting>
  <conditionalFormatting sqref="V9">
    <cfRule type="expression" dxfId="39" priority="5">
      <formula>V9&lt;0</formula>
    </cfRule>
  </conditionalFormatting>
  <conditionalFormatting sqref="V24">
    <cfRule type="expression" dxfId="38" priority="4">
      <formula>V24&lt;0</formula>
    </cfRule>
  </conditionalFormatting>
  <conditionalFormatting sqref="Y24">
    <cfRule type="expression" dxfId="37" priority="1">
      <formula>Y24&lt;0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2B16A-5B40-4877-A1C4-AE327B3CC704}">
  <dimension ref="A1:AM57"/>
  <sheetViews>
    <sheetView showGridLines="0" topLeftCell="A2" zoomScale="85" zoomScaleNormal="85" workbookViewId="0">
      <selection activeCell="Q39" sqref="Q39"/>
    </sheetView>
  </sheetViews>
  <sheetFormatPr defaultRowHeight="15" x14ac:dyDescent="0.25"/>
  <cols>
    <col min="1" max="2" width="2.85546875" customWidth="1"/>
    <col min="5" max="5" width="11.7109375" customWidth="1"/>
    <col min="6" max="6" width="16.85546875" customWidth="1"/>
    <col min="7" max="9" width="10.7109375" customWidth="1"/>
    <col min="10" max="13" width="11.42578125" customWidth="1"/>
    <col min="14" max="15" width="10.7109375" customWidth="1"/>
    <col min="16" max="23" width="11.42578125" customWidth="1"/>
    <col min="24" max="26" width="11.28515625" customWidth="1"/>
    <col min="27" max="27" width="11.42578125" customWidth="1"/>
    <col min="28" max="29" width="2.85546875" customWidth="1"/>
    <col min="30" max="30" width="10" customWidth="1"/>
  </cols>
  <sheetData>
    <row r="1" spans="1:30" ht="15" customHeight="1" thickBot="1" x14ac:dyDescent="0.3"/>
    <row r="2" spans="1:30" ht="48.75" customHeight="1" thickBot="1" x14ac:dyDescent="0.3">
      <c r="B2" s="596" t="s">
        <v>275</v>
      </c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0"/>
      <c r="R2" s="560"/>
      <c r="S2" s="560"/>
      <c r="T2" s="560"/>
      <c r="U2" s="560"/>
      <c r="V2" s="560"/>
      <c r="W2" s="560"/>
      <c r="X2" s="560"/>
      <c r="Y2" s="560"/>
      <c r="Z2" s="560"/>
      <c r="AA2" s="560"/>
      <c r="AB2" s="561"/>
    </row>
    <row r="3" spans="1:30" ht="15" customHeight="1" thickBot="1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30" ht="15" customHeight="1" thickBot="1" x14ac:dyDescent="0.3">
      <c r="A4" s="1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5"/>
    </row>
    <row r="5" spans="1:30" ht="15" customHeight="1" thickBot="1" x14ac:dyDescent="0.3">
      <c r="A5" s="13"/>
      <c r="B5" s="6"/>
      <c r="C5" s="640" t="s">
        <v>273</v>
      </c>
      <c r="D5" s="641"/>
      <c r="E5" s="642"/>
      <c r="F5" s="643" t="s">
        <v>139</v>
      </c>
      <c r="G5" s="652" t="s">
        <v>238</v>
      </c>
      <c r="H5" s="653"/>
      <c r="I5" s="653"/>
      <c r="J5" s="653"/>
      <c r="K5" s="653"/>
      <c r="L5" s="653"/>
      <c r="M5" s="653"/>
      <c r="N5" s="652" t="s">
        <v>239</v>
      </c>
      <c r="O5" s="653"/>
      <c r="P5" s="653"/>
      <c r="Q5" s="653"/>
      <c r="R5" s="653"/>
      <c r="S5" s="654"/>
      <c r="T5" s="652" t="s">
        <v>168</v>
      </c>
      <c r="U5" s="653"/>
      <c r="V5" s="653"/>
      <c r="W5" s="653"/>
      <c r="X5" s="653"/>
      <c r="Y5" s="654"/>
      <c r="Z5" s="233"/>
      <c r="AA5" s="195"/>
      <c r="AB5" s="7"/>
    </row>
    <row r="6" spans="1:30" ht="15.75" customHeight="1" x14ac:dyDescent="0.25">
      <c r="A6" s="13"/>
      <c r="B6" s="6"/>
      <c r="C6" s="632" t="s">
        <v>61</v>
      </c>
      <c r="D6" s="634" t="s">
        <v>54</v>
      </c>
      <c r="E6" s="648" t="s">
        <v>217</v>
      </c>
      <c r="F6" s="644"/>
      <c r="G6" s="638">
        <v>2018</v>
      </c>
      <c r="H6" s="636">
        <v>2019</v>
      </c>
      <c r="I6" s="636">
        <v>2020</v>
      </c>
      <c r="J6" s="636">
        <v>2021</v>
      </c>
      <c r="K6" s="655">
        <v>2022</v>
      </c>
      <c r="L6" s="646">
        <v>2023</v>
      </c>
      <c r="M6" s="664">
        <v>2024</v>
      </c>
      <c r="N6" s="638" t="s">
        <v>137</v>
      </c>
      <c r="O6" s="646">
        <v>2020</v>
      </c>
      <c r="P6" s="636">
        <v>2021</v>
      </c>
      <c r="Q6" s="636">
        <v>2022</v>
      </c>
      <c r="R6" s="636">
        <v>2023</v>
      </c>
      <c r="S6" s="655">
        <v>2024</v>
      </c>
      <c r="T6" s="638">
        <v>2020</v>
      </c>
      <c r="U6" s="636">
        <v>2021</v>
      </c>
      <c r="V6" s="636">
        <v>2022</v>
      </c>
      <c r="W6" s="636">
        <v>2023</v>
      </c>
      <c r="X6" s="636">
        <v>2024</v>
      </c>
      <c r="Y6" s="662">
        <v>2025</v>
      </c>
      <c r="Z6" s="650" t="s">
        <v>232</v>
      </c>
      <c r="AA6" s="650" t="s">
        <v>136</v>
      </c>
      <c r="AB6" s="7"/>
      <c r="AD6" s="1"/>
    </row>
    <row r="7" spans="1:30" ht="18" customHeight="1" thickBot="1" x14ac:dyDescent="0.3">
      <c r="A7" s="13"/>
      <c r="B7" s="6"/>
      <c r="C7" s="633"/>
      <c r="D7" s="635"/>
      <c r="E7" s="649"/>
      <c r="F7" s="645"/>
      <c r="G7" s="639"/>
      <c r="H7" s="637"/>
      <c r="I7" s="637"/>
      <c r="J7" s="637"/>
      <c r="K7" s="656"/>
      <c r="L7" s="661"/>
      <c r="M7" s="665"/>
      <c r="N7" s="639"/>
      <c r="O7" s="647"/>
      <c r="P7" s="637"/>
      <c r="Q7" s="637"/>
      <c r="R7" s="637"/>
      <c r="S7" s="656"/>
      <c r="T7" s="639"/>
      <c r="U7" s="637"/>
      <c r="V7" s="637"/>
      <c r="W7" s="637"/>
      <c r="X7" s="637"/>
      <c r="Y7" s="663"/>
      <c r="Z7" s="651"/>
      <c r="AA7" s="660"/>
      <c r="AB7" s="7"/>
      <c r="AD7" s="1"/>
    </row>
    <row r="8" spans="1:30" x14ac:dyDescent="0.25">
      <c r="A8" s="13"/>
      <c r="B8" s="6"/>
      <c r="C8" s="693" t="s">
        <v>3</v>
      </c>
      <c r="D8" s="680" t="s">
        <v>66</v>
      </c>
      <c r="E8" s="361" t="s">
        <v>41</v>
      </c>
      <c r="F8" s="235" t="s">
        <v>101</v>
      </c>
      <c r="G8" s="412">
        <v>7581.5788574218795</v>
      </c>
      <c r="H8" s="377">
        <v>0</v>
      </c>
      <c r="I8" s="377">
        <v>0</v>
      </c>
      <c r="J8" s="377">
        <v>0</v>
      </c>
      <c r="K8" s="377">
        <v>0</v>
      </c>
      <c r="L8" s="377">
        <v>0</v>
      </c>
      <c r="M8" s="377">
        <v>0</v>
      </c>
      <c r="N8" s="612" t="s">
        <v>101</v>
      </c>
      <c r="O8" s="606" t="s">
        <v>101</v>
      </c>
      <c r="P8" s="606" t="s">
        <v>101</v>
      </c>
      <c r="Q8" s="606" t="s">
        <v>101</v>
      </c>
      <c r="R8" s="606" t="s">
        <v>101</v>
      </c>
      <c r="S8" s="624" t="s">
        <v>101</v>
      </c>
      <c r="T8" s="612" t="s">
        <v>101</v>
      </c>
      <c r="U8" s="606" t="s">
        <v>101</v>
      </c>
      <c r="V8" s="606" t="s">
        <v>101</v>
      </c>
      <c r="W8" s="606" t="s">
        <v>101</v>
      </c>
      <c r="X8" s="606" t="s">
        <v>101</v>
      </c>
      <c r="Y8" s="624" t="s">
        <v>101</v>
      </c>
      <c r="Z8" s="615" t="s">
        <v>101</v>
      </c>
      <c r="AA8" s="657" t="s">
        <v>38</v>
      </c>
      <c r="AB8" s="7"/>
      <c r="AD8" s="1"/>
    </row>
    <row r="9" spans="1:30" x14ac:dyDescent="0.25">
      <c r="A9" s="13"/>
      <c r="B9" s="6"/>
      <c r="C9" s="694"/>
      <c r="D9" s="687"/>
      <c r="E9" s="138" t="s">
        <v>40</v>
      </c>
      <c r="F9" s="236" t="s">
        <v>101</v>
      </c>
      <c r="G9" s="413">
        <v>7.3470001220703098</v>
      </c>
      <c r="H9" s="396">
        <v>12.952000379562399</v>
      </c>
      <c r="I9" s="396">
        <v>1.7259999513626101</v>
      </c>
      <c r="J9" s="414">
        <v>0.598999984562397</v>
      </c>
      <c r="K9" s="414">
        <v>5.5509999096393603</v>
      </c>
      <c r="L9" s="414">
        <v>0.93500000238418601</v>
      </c>
      <c r="M9" s="377">
        <v>0</v>
      </c>
      <c r="N9" s="610"/>
      <c r="O9" s="613"/>
      <c r="P9" s="613"/>
      <c r="Q9" s="613"/>
      <c r="R9" s="613"/>
      <c r="S9" s="608"/>
      <c r="T9" s="610"/>
      <c r="U9" s="613"/>
      <c r="V9" s="613"/>
      <c r="W9" s="613"/>
      <c r="X9" s="613"/>
      <c r="Y9" s="608"/>
      <c r="Z9" s="616"/>
      <c r="AA9" s="658"/>
      <c r="AB9" s="7"/>
      <c r="AD9" s="1"/>
    </row>
    <row r="10" spans="1:30" ht="15.75" thickBot="1" x14ac:dyDescent="0.3">
      <c r="A10" s="13"/>
      <c r="B10" s="6"/>
      <c r="C10" s="694"/>
      <c r="D10" s="687"/>
      <c r="E10" s="382" t="s">
        <v>133</v>
      </c>
      <c r="F10" s="381" t="s">
        <v>101</v>
      </c>
      <c r="G10" s="415">
        <v>29899.202236175501</v>
      </c>
      <c r="H10" s="416">
        <v>33541.000144958503</v>
      </c>
      <c r="I10" s="417">
        <v>20792.9999160767</v>
      </c>
      <c r="J10" s="418">
        <v>24514.799932479898</v>
      </c>
      <c r="K10" s="418">
        <v>20845.201032638601</v>
      </c>
      <c r="L10" s="418">
        <v>21245.999996185299</v>
      </c>
      <c r="M10" s="419">
        <v>29141.000198364301</v>
      </c>
      <c r="N10" s="611"/>
      <c r="O10" s="607"/>
      <c r="P10" s="607"/>
      <c r="Q10" s="607"/>
      <c r="R10" s="607"/>
      <c r="S10" s="609"/>
      <c r="T10" s="611"/>
      <c r="U10" s="607"/>
      <c r="V10" s="607"/>
      <c r="W10" s="607"/>
      <c r="X10" s="607"/>
      <c r="Y10" s="609"/>
      <c r="Z10" s="605"/>
      <c r="AA10" s="659"/>
      <c r="AB10" s="7"/>
    </row>
    <row r="11" spans="1:30" ht="15" customHeight="1" x14ac:dyDescent="0.25">
      <c r="A11" s="13"/>
      <c r="B11" s="6"/>
      <c r="C11" s="688" t="s">
        <v>157</v>
      </c>
      <c r="D11" s="690" t="s">
        <v>66</v>
      </c>
      <c r="E11" s="139" t="s">
        <v>226</v>
      </c>
      <c r="F11" s="234" t="s">
        <v>101</v>
      </c>
      <c r="G11" s="420">
        <v>0</v>
      </c>
      <c r="H11" s="421">
        <v>3.6503942012786901</v>
      </c>
      <c r="I11" s="421">
        <v>1.6138280630111701</v>
      </c>
      <c r="J11" s="421">
        <v>11.6300497055054</v>
      </c>
      <c r="K11" s="421">
        <v>1675.263671875</v>
      </c>
      <c r="L11" s="421">
        <v>218.71253967285199</v>
      </c>
      <c r="M11" s="422">
        <v>15.7299995422363</v>
      </c>
      <c r="N11" s="612" t="s">
        <v>101</v>
      </c>
      <c r="O11" s="606" t="s">
        <v>101</v>
      </c>
      <c r="P11" s="606" t="s">
        <v>101</v>
      </c>
      <c r="Q11" s="606" t="s">
        <v>101</v>
      </c>
      <c r="R11" s="606" t="s">
        <v>101</v>
      </c>
      <c r="S11" s="624" t="s">
        <v>101</v>
      </c>
      <c r="T11" s="612" t="s">
        <v>101</v>
      </c>
      <c r="U11" s="606" t="s">
        <v>101</v>
      </c>
      <c r="V11" s="606" t="s">
        <v>101</v>
      </c>
      <c r="W11" s="606" t="s">
        <v>101</v>
      </c>
      <c r="X11" s="606" t="s">
        <v>101</v>
      </c>
      <c r="Y11" s="624" t="s">
        <v>101</v>
      </c>
      <c r="Z11" s="615" t="s">
        <v>101</v>
      </c>
      <c r="AA11" s="670" t="s">
        <v>236</v>
      </c>
      <c r="AB11" s="7"/>
    </row>
    <row r="12" spans="1:30" ht="15" customHeight="1" x14ac:dyDescent="0.25">
      <c r="A12" s="13"/>
      <c r="B12" s="6"/>
      <c r="C12" s="689"/>
      <c r="D12" s="691"/>
      <c r="E12" s="227" t="s">
        <v>40</v>
      </c>
      <c r="F12" s="235" t="s">
        <v>101</v>
      </c>
      <c r="G12" s="423">
        <v>2941.42457580566</v>
      </c>
      <c r="H12" s="423">
        <v>508.84136962890602</v>
      </c>
      <c r="I12" s="423">
        <v>1092.8941040039099</v>
      </c>
      <c r="J12" s="423">
        <v>3116.3319053649898</v>
      </c>
      <c r="K12" s="423">
        <v>10904.881164550799</v>
      </c>
      <c r="L12" s="424">
        <v>5814.5498657226599</v>
      </c>
      <c r="M12" s="425">
        <v>5297.2900085449201</v>
      </c>
      <c r="N12" s="626"/>
      <c r="O12" s="614"/>
      <c r="P12" s="614"/>
      <c r="Q12" s="614"/>
      <c r="R12" s="614"/>
      <c r="S12" s="625"/>
      <c r="T12" s="626"/>
      <c r="U12" s="614"/>
      <c r="V12" s="614"/>
      <c r="W12" s="614"/>
      <c r="X12" s="614"/>
      <c r="Y12" s="608"/>
      <c r="Z12" s="616"/>
      <c r="AA12" s="671"/>
      <c r="AB12" s="7"/>
    </row>
    <row r="13" spans="1:30" ht="15" customHeight="1" x14ac:dyDescent="0.25">
      <c r="A13" s="13"/>
      <c r="B13" s="6"/>
      <c r="C13" s="689"/>
      <c r="D13" s="691"/>
      <c r="E13" s="227" t="s">
        <v>39</v>
      </c>
      <c r="F13" s="149">
        <f>'19-01 base annual limits'!M9</f>
        <v>12394.699999999999</v>
      </c>
      <c r="G13" s="423">
        <v>10339.7294921875</v>
      </c>
      <c r="H13" s="423">
        <v>4185.3037109375</v>
      </c>
      <c r="I13" s="423">
        <v>3371.76953125</v>
      </c>
      <c r="J13" s="423">
        <v>5490.234375</v>
      </c>
      <c r="K13" s="423">
        <v>9958.765625</v>
      </c>
      <c r="L13" s="423">
        <v>8165.44287109375</v>
      </c>
      <c r="M13" s="425">
        <v>5814.47998046875</v>
      </c>
      <c r="N13" s="143">
        <f>'19-01 base annual limits'!P9</f>
        <v>0</v>
      </c>
      <c r="O13" s="238">
        <f>'19-01 catch, overcatch, limits'!I9</f>
        <v>0</v>
      </c>
      <c r="P13" s="144">
        <f>'19-01 catch, overcatch, limits'!L9</f>
        <v>0</v>
      </c>
      <c r="Q13" s="238">
        <f>'19-01 catch, overcatch, limits'!O9</f>
        <v>0</v>
      </c>
      <c r="R13" s="237">
        <f>'19-01 catch, overcatch, limits'!R9</f>
        <v>0</v>
      </c>
      <c r="S13" s="371">
        <f>'19-01 catch, overcatch, limits'!U9</f>
        <v>0</v>
      </c>
      <c r="T13" s="451">
        <f>'19-01 catch, overcatch, limits'!G9</f>
        <v>12394.699999999999</v>
      </c>
      <c r="U13" s="451">
        <f>'19-01 catch, overcatch, limits'!J9</f>
        <v>12394.699999999999</v>
      </c>
      <c r="V13" s="451">
        <f>'19-01 catch, overcatch, limits'!M9</f>
        <v>12394.699999999999</v>
      </c>
      <c r="W13" s="451">
        <f>'19-01 catch, overcatch, limits'!P9</f>
        <v>12394.699999999999</v>
      </c>
      <c r="X13" s="451">
        <f>'19-01 catch, overcatch, limits'!S9</f>
        <v>12394.699999999999</v>
      </c>
      <c r="Y13" s="608"/>
      <c r="Z13" s="616"/>
      <c r="AA13" s="671"/>
      <c r="AB13" s="7"/>
    </row>
    <row r="14" spans="1:30" ht="15.75" thickBot="1" x14ac:dyDescent="0.3">
      <c r="A14" s="13"/>
      <c r="B14" s="6"/>
      <c r="C14" s="689"/>
      <c r="D14" s="692"/>
      <c r="E14" s="382" t="s">
        <v>133</v>
      </c>
      <c r="F14" s="383" t="s">
        <v>101</v>
      </c>
      <c r="G14" s="426">
        <v>22887.9257202148</v>
      </c>
      <c r="H14" s="426">
        <v>31627.513519287098</v>
      </c>
      <c r="I14" s="426">
        <v>32052.959167480501</v>
      </c>
      <c r="J14" s="426">
        <v>33590.128417968801</v>
      </c>
      <c r="K14" s="426">
        <v>40447.855957031199</v>
      </c>
      <c r="L14" s="426">
        <v>39261.471343994097</v>
      </c>
      <c r="M14" s="427">
        <v>44986.530330658003</v>
      </c>
      <c r="N14" s="232" t="s">
        <v>101</v>
      </c>
      <c r="O14" s="372" t="s">
        <v>101</v>
      </c>
      <c r="P14" s="370" t="s">
        <v>101</v>
      </c>
      <c r="Q14" s="370" t="s">
        <v>101</v>
      </c>
      <c r="R14" s="231" t="s">
        <v>101</v>
      </c>
      <c r="S14" s="384" t="s">
        <v>101</v>
      </c>
      <c r="T14" s="372" t="s">
        <v>101</v>
      </c>
      <c r="U14" s="372" t="s">
        <v>101</v>
      </c>
      <c r="V14" s="372" t="s">
        <v>101</v>
      </c>
      <c r="W14" s="372" t="s">
        <v>101</v>
      </c>
      <c r="X14" s="372" t="s">
        <v>101</v>
      </c>
      <c r="Y14" s="609"/>
      <c r="Z14" s="605"/>
      <c r="AA14" s="672"/>
      <c r="AB14" s="7"/>
    </row>
    <row r="15" spans="1:30" x14ac:dyDescent="0.25">
      <c r="A15" s="13"/>
      <c r="B15" s="6"/>
      <c r="C15" s="678" t="s">
        <v>4</v>
      </c>
      <c r="D15" s="687" t="s">
        <v>66</v>
      </c>
      <c r="E15" s="227" t="s">
        <v>41</v>
      </c>
      <c r="F15" s="385">
        <f>'19-01 base annual limits'!M24</f>
        <v>32623.200000000001</v>
      </c>
      <c r="G15" s="428">
        <v>25883.904296875</v>
      </c>
      <c r="H15" s="429">
        <v>25938.41015625</v>
      </c>
      <c r="I15" s="424">
        <v>18837.794921875</v>
      </c>
      <c r="J15" s="424">
        <v>20313.146484375</v>
      </c>
      <c r="K15" s="424">
        <v>21080</v>
      </c>
      <c r="L15" s="424">
        <v>21452.9296875</v>
      </c>
      <c r="M15" s="430">
        <v>26578.80078125</v>
      </c>
      <c r="N15" s="386">
        <f>'19-01 base annual limits'!P24</f>
        <v>0</v>
      </c>
      <c r="O15" s="387">
        <f>'19-01 catch, overcatch, limits'!I24</f>
        <v>0</v>
      </c>
      <c r="P15" s="388">
        <f>'19-01 catch, overcatch, limits'!L24</f>
        <v>0</v>
      </c>
      <c r="Q15" s="387">
        <f>'19-01 catch, overcatch, limits'!O24</f>
        <v>0</v>
      </c>
      <c r="R15" s="387">
        <f>'19-01 catch, overcatch, limits'!R24</f>
        <v>0</v>
      </c>
      <c r="S15" s="389"/>
      <c r="T15" s="390">
        <f>'19-01 catch, overcatch, limits'!G24</f>
        <v>32623.200000000001</v>
      </c>
      <c r="U15" s="391">
        <f>'19-01 catch, overcatch, limits'!J24</f>
        <v>32623.200000000001</v>
      </c>
      <c r="V15" s="392">
        <f>'19-01 catch, overcatch, limits'!M24</f>
        <v>32623.200000000001</v>
      </c>
      <c r="W15" s="391">
        <f>'19-01 catch, overcatch, limits'!P24</f>
        <v>32623.200000000001</v>
      </c>
      <c r="X15" s="393">
        <f>'19-01 catch, overcatch, limits'!S24</f>
        <v>32623.200000000001</v>
      </c>
      <c r="Y15" s="408">
        <f>'19-01 catch, overcatch, limits'!V24</f>
        <v>32623.200000000001</v>
      </c>
      <c r="Z15" s="409">
        <f>'19-01 catch, overcatch, limits'!Y24</f>
        <v>32623.200000000001</v>
      </c>
      <c r="AA15" s="673" t="s">
        <v>37</v>
      </c>
      <c r="AB15" s="7"/>
    </row>
    <row r="16" spans="1:30" x14ac:dyDescent="0.25">
      <c r="A16" s="13"/>
      <c r="B16" s="6"/>
      <c r="C16" s="686"/>
      <c r="D16" s="687"/>
      <c r="E16" s="140" t="s">
        <v>39</v>
      </c>
      <c r="F16" s="236" t="s">
        <v>101</v>
      </c>
      <c r="G16" s="431">
        <v>3897.88208007812</v>
      </c>
      <c r="H16" s="432">
        <v>3360.69995117188</v>
      </c>
      <c r="I16" s="423">
        <v>610</v>
      </c>
      <c r="J16" s="423">
        <v>247</v>
      </c>
      <c r="K16" s="423">
        <v>0</v>
      </c>
      <c r="L16" s="423">
        <v>0</v>
      </c>
      <c r="M16" s="433">
        <v>0</v>
      </c>
      <c r="N16" s="627" t="s">
        <v>101</v>
      </c>
      <c r="O16" s="628" t="s">
        <v>101</v>
      </c>
      <c r="P16" s="628" t="s">
        <v>101</v>
      </c>
      <c r="Q16" s="628" t="s">
        <v>101</v>
      </c>
      <c r="R16" s="628" t="s">
        <v>101</v>
      </c>
      <c r="S16" s="629" t="s">
        <v>101</v>
      </c>
      <c r="T16" s="627" t="s">
        <v>101</v>
      </c>
      <c r="U16" s="628" t="s">
        <v>101</v>
      </c>
      <c r="V16" s="628" t="s">
        <v>101</v>
      </c>
      <c r="W16" s="628" t="s">
        <v>101</v>
      </c>
      <c r="X16" s="628" t="s">
        <v>101</v>
      </c>
      <c r="Y16" s="629" t="s">
        <v>101</v>
      </c>
      <c r="Z16" s="604" t="s">
        <v>101</v>
      </c>
      <c r="AA16" s="674"/>
      <c r="AB16" s="7"/>
    </row>
    <row r="17" spans="1:33" ht="15.75" thickBot="1" x14ac:dyDescent="0.3">
      <c r="A17" s="13"/>
      <c r="B17" s="6"/>
      <c r="C17" s="679"/>
      <c r="D17" s="681"/>
      <c r="E17" s="382" t="s">
        <v>133</v>
      </c>
      <c r="F17" s="383" t="s">
        <v>101</v>
      </c>
      <c r="G17" s="434">
        <v>28868.394165039099</v>
      </c>
      <c r="H17" s="435">
        <v>28748.0966796875</v>
      </c>
      <c r="I17" s="426">
        <v>28867.0732421875</v>
      </c>
      <c r="J17" s="426">
        <v>23720.755859375</v>
      </c>
      <c r="K17" s="436">
        <v>17741.28125</v>
      </c>
      <c r="L17" s="426">
        <v>15897.310546875</v>
      </c>
      <c r="M17" s="437">
        <v>15952.2003173828</v>
      </c>
      <c r="N17" s="611"/>
      <c r="O17" s="607"/>
      <c r="P17" s="607"/>
      <c r="Q17" s="607"/>
      <c r="R17" s="607"/>
      <c r="S17" s="609"/>
      <c r="T17" s="611"/>
      <c r="U17" s="607"/>
      <c r="V17" s="607"/>
      <c r="W17" s="607"/>
      <c r="X17" s="607"/>
      <c r="Y17" s="609"/>
      <c r="Z17" s="605"/>
      <c r="AA17" s="674"/>
      <c r="AB17" s="7"/>
    </row>
    <row r="18" spans="1:33" x14ac:dyDescent="0.25">
      <c r="A18" s="13"/>
      <c r="B18" s="6"/>
      <c r="C18" s="678" t="s">
        <v>22</v>
      </c>
      <c r="D18" s="680" t="s">
        <v>67</v>
      </c>
      <c r="E18" s="139" t="s">
        <v>40</v>
      </c>
      <c r="F18" s="234" t="s">
        <v>101</v>
      </c>
      <c r="G18" s="412">
        <v>29.0174765007608</v>
      </c>
      <c r="H18" s="410">
        <v>39.540000915527301</v>
      </c>
      <c r="I18" s="410">
        <v>33.299999237060497</v>
      </c>
      <c r="J18" s="438">
        <v>28.920000076293899</v>
      </c>
      <c r="K18" s="438">
        <v>28.920000076293899</v>
      </c>
      <c r="L18" s="438">
        <v>18.288000106811499</v>
      </c>
      <c r="M18" s="439">
        <v>57.536998748779297</v>
      </c>
      <c r="N18" s="612" t="s">
        <v>101</v>
      </c>
      <c r="O18" s="606" t="s">
        <v>101</v>
      </c>
      <c r="P18" s="606" t="s">
        <v>101</v>
      </c>
      <c r="Q18" s="606" t="s">
        <v>101</v>
      </c>
      <c r="R18" s="606" t="s">
        <v>101</v>
      </c>
      <c r="S18" s="624" t="s">
        <v>101</v>
      </c>
      <c r="T18" s="612" t="s">
        <v>101</v>
      </c>
      <c r="U18" s="606" t="s">
        <v>101</v>
      </c>
      <c r="V18" s="606" t="s">
        <v>101</v>
      </c>
      <c r="W18" s="606" t="s">
        <v>101</v>
      </c>
      <c r="X18" s="606" t="s">
        <v>101</v>
      </c>
      <c r="Y18" s="624" t="s">
        <v>101</v>
      </c>
      <c r="Z18" s="615" t="s">
        <v>101</v>
      </c>
      <c r="AA18" s="674"/>
      <c r="AB18" s="7"/>
    </row>
    <row r="19" spans="1:33" ht="15.75" thickBot="1" x14ac:dyDescent="0.3">
      <c r="A19" s="13"/>
      <c r="B19" s="6"/>
      <c r="C19" s="679"/>
      <c r="D19" s="681"/>
      <c r="E19" s="382" t="s">
        <v>133</v>
      </c>
      <c r="F19" s="383" t="s">
        <v>101</v>
      </c>
      <c r="G19" s="440">
        <v>675.26519775390602</v>
      </c>
      <c r="H19" s="417">
        <v>675.26519775390602</v>
      </c>
      <c r="I19" s="417">
        <v>675.26519775390602</v>
      </c>
      <c r="J19" s="418">
        <v>675.26519775390602</v>
      </c>
      <c r="K19" s="418">
        <v>675.26519775390602</v>
      </c>
      <c r="L19" s="418">
        <v>675.26519775390602</v>
      </c>
      <c r="M19" s="441">
        <v>290.159999847412</v>
      </c>
      <c r="N19" s="611"/>
      <c r="O19" s="607"/>
      <c r="P19" s="607"/>
      <c r="Q19" s="607"/>
      <c r="R19" s="607"/>
      <c r="S19" s="609"/>
      <c r="T19" s="611"/>
      <c r="U19" s="607"/>
      <c r="V19" s="607"/>
      <c r="W19" s="607"/>
      <c r="X19" s="607"/>
      <c r="Y19" s="609"/>
      <c r="Z19" s="605"/>
      <c r="AA19" s="674"/>
      <c r="AB19" s="7"/>
      <c r="AD19" s="1"/>
    </row>
    <row r="20" spans="1:33" ht="15" customHeight="1" x14ac:dyDescent="0.25">
      <c r="A20" s="13"/>
      <c r="B20" s="6"/>
      <c r="C20" s="686" t="s">
        <v>6</v>
      </c>
      <c r="D20" s="687" t="s">
        <v>66</v>
      </c>
      <c r="E20" s="205" t="s">
        <v>40</v>
      </c>
      <c r="F20" s="235" t="s">
        <v>101</v>
      </c>
      <c r="G20" s="396">
        <v>177</v>
      </c>
      <c r="H20" s="396">
        <v>297.19198608398398</v>
      </c>
      <c r="I20" s="396">
        <v>207.45700073242199</v>
      </c>
      <c r="J20" s="396">
        <v>168.30400085449199</v>
      </c>
      <c r="K20" s="396">
        <v>282</v>
      </c>
      <c r="L20" s="396">
        <v>282</v>
      </c>
      <c r="M20" s="442">
        <v>432.010009765625</v>
      </c>
      <c r="N20" s="668" t="s">
        <v>101</v>
      </c>
      <c r="O20" s="613" t="s">
        <v>101</v>
      </c>
      <c r="P20" s="666" t="s">
        <v>101</v>
      </c>
      <c r="Q20" s="630" t="s">
        <v>101</v>
      </c>
      <c r="R20" s="613" t="s">
        <v>101</v>
      </c>
      <c r="S20" s="682" t="s">
        <v>101</v>
      </c>
      <c r="T20" s="610" t="s">
        <v>101</v>
      </c>
      <c r="U20" s="613" t="s">
        <v>101</v>
      </c>
      <c r="V20" s="666" t="s">
        <v>101</v>
      </c>
      <c r="W20" s="630" t="s">
        <v>101</v>
      </c>
      <c r="X20" s="630" t="s">
        <v>101</v>
      </c>
      <c r="Y20" s="608" t="s">
        <v>101</v>
      </c>
      <c r="Z20" s="610" t="s">
        <v>101</v>
      </c>
      <c r="AA20" s="674"/>
      <c r="AB20" s="7"/>
      <c r="AD20" s="1"/>
    </row>
    <row r="21" spans="1:33" ht="15" customHeight="1" x14ac:dyDescent="0.25">
      <c r="A21" s="13"/>
      <c r="B21" s="6"/>
      <c r="C21" s="686"/>
      <c r="D21" s="687"/>
      <c r="E21" s="151" t="s">
        <v>39</v>
      </c>
      <c r="F21" s="236" t="s">
        <v>101</v>
      </c>
      <c r="G21" s="379">
        <v>0</v>
      </c>
      <c r="H21" s="379">
        <v>0</v>
      </c>
      <c r="I21" s="379">
        <v>0</v>
      </c>
      <c r="J21" s="379">
        <v>0</v>
      </c>
      <c r="K21" s="379">
        <v>3020.47802734375</v>
      </c>
      <c r="L21" s="379">
        <v>3924.0458984375</v>
      </c>
      <c r="M21" s="443">
        <v>2355.15991210938</v>
      </c>
      <c r="N21" s="668"/>
      <c r="O21" s="613"/>
      <c r="P21" s="666"/>
      <c r="Q21" s="630"/>
      <c r="R21" s="613"/>
      <c r="S21" s="682"/>
      <c r="T21" s="610"/>
      <c r="U21" s="613"/>
      <c r="V21" s="666"/>
      <c r="W21" s="630"/>
      <c r="X21" s="630"/>
      <c r="Y21" s="608"/>
      <c r="Z21" s="610"/>
      <c r="AA21" s="674"/>
      <c r="AB21" s="7"/>
      <c r="AD21" s="1"/>
    </row>
    <row r="22" spans="1:33" ht="15.75" thickBot="1" x14ac:dyDescent="0.3">
      <c r="A22" s="13"/>
      <c r="B22" s="6"/>
      <c r="C22" s="679"/>
      <c r="D22" s="681"/>
      <c r="E22" s="382" t="s">
        <v>133</v>
      </c>
      <c r="F22" s="383" t="s">
        <v>101</v>
      </c>
      <c r="G22" s="436">
        <v>28660.400194883299</v>
      </c>
      <c r="H22" s="436">
        <v>36735.434394836499</v>
      </c>
      <c r="I22" s="436">
        <v>68577.731801986694</v>
      </c>
      <c r="J22" s="436">
        <v>74912.011474637897</v>
      </c>
      <c r="K22" s="436">
        <v>74518.583526611299</v>
      </c>
      <c r="L22" s="436">
        <v>65866.001129150303</v>
      </c>
      <c r="M22" s="444">
        <v>86155.197581291199</v>
      </c>
      <c r="N22" s="669"/>
      <c r="O22" s="607"/>
      <c r="P22" s="667"/>
      <c r="Q22" s="631"/>
      <c r="R22" s="607"/>
      <c r="S22" s="683"/>
      <c r="T22" s="611"/>
      <c r="U22" s="607"/>
      <c r="V22" s="667"/>
      <c r="W22" s="631"/>
      <c r="X22" s="631"/>
      <c r="Y22" s="609"/>
      <c r="Z22" s="611"/>
      <c r="AA22" s="674"/>
      <c r="AB22" s="7"/>
    </row>
    <row r="23" spans="1:33" ht="15.75" thickBot="1" x14ac:dyDescent="0.3">
      <c r="A23" s="13"/>
      <c r="B23" s="6"/>
      <c r="C23" s="397" t="s">
        <v>27</v>
      </c>
      <c r="D23" s="398" t="s">
        <v>67</v>
      </c>
      <c r="E23" s="399" t="s">
        <v>133</v>
      </c>
      <c r="F23" s="400" t="s">
        <v>101</v>
      </c>
      <c r="G23" s="401">
        <v>0</v>
      </c>
      <c r="H23" s="401">
        <v>0</v>
      </c>
      <c r="I23" s="401">
        <v>0</v>
      </c>
      <c r="J23" s="401">
        <v>0</v>
      </c>
      <c r="K23" s="401">
        <v>0</v>
      </c>
      <c r="L23" s="401">
        <v>0</v>
      </c>
      <c r="M23" s="444">
        <v>10965</v>
      </c>
      <c r="N23" s="402" t="s">
        <v>101</v>
      </c>
      <c r="O23" s="403" t="s">
        <v>101</v>
      </c>
      <c r="P23" s="404" t="s">
        <v>101</v>
      </c>
      <c r="Q23" s="404" t="s">
        <v>101</v>
      </c>
      <c r="R23" s="403" t="s">
        <v>101</v>
      </c>
      <c r="S23" s="395" t="s">
        <v>101</v>
      </c>
      <c r="T23" s="405" t="s">
        <v>101</v>
      </c>
      <c r="U23" s="404" t="s">
        <v>101</v>
      </c>
      <c r="V23" s="406" t="s">
        <v>101</v>
      </c>
      <c r="W23" s="404" t="s">
        <v>101</v>
      </c>
      <c r="X23" s="403" t="s">
        <v>101</v>
      </c>
      <c r="Y23" s="395" t="s">
        <v>101</v>
      </c>
      <c r="Z23" s="407" t="s">
        <v>101</v>
      </c>
      <c r="AA23" s="675"/>
      <c r="AB23" s="7"/>
      <c r="AD23" s="166"/>
      <c r="AE23" s="166"/>
      <c r="AF23" s="166"/>
      <c r="AG23" s="166"/>
    </row>
    <row r="24" spans="1:33" x14ac:dyDescent="0.25">
      <c r="A24" s="13"/>
      <c r="B24" s="6"/>
      <c r="C24" s="278" t="s">
        <v>234</v>
      </c>
      <c r="D24" s="138" t="str">
        <f>'Nominal retained catches'!D9</f>
        <v>DD, C</v>
      </c>
      <c r="E24" s="140" t="s">
        <v>39</v>
      </c>
      <c r="F24" s="149">
        <f>'19-01 base annual limits'!M8</f>
        <v>77694.495703124994</v>
      </c>
      <c r="G24" s="378">
        <v>79234</v>
      </c>
      <c r="H24" s="445">
        <v>71543</v>
      </c>
      <c r="I24" s="379">
        <v>70773</v>
      </c>
      <c r="J24" s="380">
        <v>75463</v>
      </c>
      <c r="K24" s="598"/>
      <c r="L24" s="599"/>
      <c r="M24" s="600"/>
      <c r="N24" s="196">
        <f>'19-01 base annual limits'!P8</f>
        <v>4797.9851577759255</v>
      </c>
      <c r="O24" s="238">
        <f>'19-01 catch, overcatch, limits'!I8</f>
        <v>0</v>
      </c>
      <c r="P24" s="197">
        <f>'19-01 catch, overcatch, limits'!L8</f>
        <v>3022.4894546509313</v>
      </c>
      <c r="Q24" s="618"/>
      <c r="R24" s="619"/>
      <c r="S24" s="620"/>
      <c r="T24" s="200">
        <f>'19-01 catch, overcatch, limits'!G8</f>
        <v>77694.495703124994</v>
      </c>
      <c r="U24" s="198">
        <f>'19-01 catch, overcatch, limits'!J8</f>
        <v>72896.510545349069</v>
      </c>
      <c r="V24" s="618"/>
      <c r="W24" s="619"/>
      <c r="X24" s="619"/>
      <c r="Y24" s="619"/>
      <c r="Z24" s="620"/>
      <c r="AA24" s="550"/>
      <c r="AB24" s="7"/>
      <c r="AD24" s="1"/>
      <c r="AF24" s="166"/>
      <c r="AG24" s="166"/>
    </row>
    <row r="25" spans="1:33" x14ac:dyDescent="0.25">
      <c r="A25" s="13"/>
      <c r="B25" s="6"/>
      <c r="C25" s="278" t="s">
        <v>2</v>
      </c>
      <c r="D25" s="138" t="s">
        <v>64</v>
      </c>
      <c r="E25" s="140" t="s">
        <v>39</v>
      </c>
      <c r="F25" s="149">
        <f>'19-01 base annual limits'!M10</f>
        <v>7524.073784426032</v>
      </c>
      <c r="G25" s="446">
        <v>5415</v>
      </c>
      <c r="H25" s="445">
        <v>8730</v>
      </c>
      <c r="I25" s="379">
        <v>2393</v>
      </c>
      <c r="J25" s="380">
        <v>5806</v>
      </c>
      <c r="K25" s="598"/>
      <c r="L25" s="599"/>
      <c r="M25" s="600"/>
      <c r="N25" s="238">
        <f>'19-01 base annual limits'!P10</f>
        <v>0</v>
      </c>
      <c r="O25" s="238">
        <f>'19-01 catch, overcatch, limits'!I10</f>
        <v>0</v>
      </c>
      <c r="P25" s="238">
        <f>'19-01 catch, overcatch, limits'!L10</f>
        <v>0</v>
      </c>
      <c r="Q25" s="618"/>
      <c r="R25" s="619"/>
      <c r="S25" s="620"/>
      <c r="T25" s="200">
        <f>'19-01 catch, overcatch, limits'!G10</f>
        <v>7524.073784426032</v>
      </c>
      <c r="U25" s="198">
        <f>'19-01 catch, overcatch, limits'!J10</f>
        <v>7524.073784426032</v>
      </c>
      <c r="V25" s="618"/>
      <c r="W25" s="619"/>
      <c r="X25" s="619"/>
      <c r="Y25" s="619"/>
      <c r="Z25" s="620"/>
      <c r="AA25" s="550"/>
      <c r="AB25" s="7"/>
      <c r="AD25" s="1"/>
      <c r="AF25" s="166"/>
    </row>
    <row r="26" spans="1:33" x14ac:dyDescent="0.25">
      <c r="A26" s="13"/>
      <c r="B26" s="6"/>
      <c r="C26" s="278" t="s">
        <v>5</v>
      </c>
      <c r="D26" s="138" t="str">
        <f>'Nominal retained catches'!D18</f>
        <v>DG, C</v>
      </c>
      <c r="E26" s="140" t="s">
        <v>40</v>
      </c>
      <c r="F26" s="149">
        <f>'19-01 base annual limits'!M17</f>
        <v>7762.4101867675763</v>
      </c>
      <c r="G26" s="447">
        <v>8554.3000488281195</v>
      </c>
      <c r="H26" s="447">
        <v>10745.800292968799</v>
      </c>
      <c r="I26" s="447">
        <v>7481.0001220703098</v>
      </c>
      <c r="J26" s="447">
        <v>5255.39990234375</v>
      </c>
      <c r="K26" s="598"/>
      <c r="L26" s="599"/>
      <c r="M26" s="600"/>
      <c r="N26" s="196">
        <f>'19-01 base annual limits'!P17</f>
        <v>2460.7699279785738</v>
      </c>
      <c r="O26" s="238">
        <f>'19-01 catch, overcatch, limits'!I17</f>
        <v>0</v>
      </c>
      <c r="P26" s="238">
        <f>'19-01 catch, overcatch, limits'!L17</f>
        <v>0</v>
      </c>
      <c r="Q26" s="618"/>
      <c r="R26" s="619"/>
      <c r="S26" s="620"/>
      <c r="T26" s="200">
        <f>'19-01 catch, overcatch, limits'!G17</f>
        <v>7762.4101867675763</v>
      </c>
      <c r="U26" s="198">
        <f>'19-01 catch, overcatch, limits'!J17</f>
        <v>5301.6402587890025</v>
      </c>
      <c r="V26" s="618"/>
      <c r="W26" s="619"/>
      <c r="X26" s="619"/>
      <c r="Y26" s="619"/>
      <c r="Z26" s="620"/>
      <c r="AA26" s="550"/>
      <c r="AB26" s="7"/>
      <c r="AD26" s="1"/>
    </row>
    <row r="27" spans="1:33" x14ac:dyDescent="0.25">
      <c r="A27" s="13"/>
      <c r="B27" s="6"/>
      <c r="C27" s="684" t="s">
        <v>9</v>
      </c>
      <c r="D27" s="676" t="s">
        <v>68</v>
      </c>
      <c r="E27" s="140" t="s">
        <v>223</v>
      </c>
      <c r="F27" s="149">
        <f>'19-01 base annual limits'!M29</f>
        <v>10845.199999999999</v>
      </c>
      <c r="G27" s="448">
        <v>10748.8603515625</v>
      </c>
      <c r="H27" s="447">
        <v>10165.18359375</v>
      </c>
      <c r="I27" s="447">
        <v>10696.51953125</v>
      </c>
      <c r="J27" s="447">
        <v>7085.44677734375</v>
      </c>
      <c r="K27" s="598"/>
      <c r="L27" s="599"/>
      <c r="M27" s="600"/>
      <c r="N27" s="238">
        <f>'19-01 base annual limits'!P29</f>
        <v>0</v>
      </c>
      <c r="O27" s="238">
        <f>'19-01 catch, overcatch, limits'!I29</f>
        <v>0</v>
      </c>
      <c r="P27" s="238">
        <f>'19-01 catch, overcatch, limits'!L29</f>
        <v>0</v>
      </c>
      <c r="Q27" s="618"/>
      <c r="R27" s="619"/>
      <c r="S27" s="620"/>
      <c r="T27" s="200">
        <f>'19-01 catch, overcatch, limits'!G29</f>
        <v>10845.199999999999</v>
      </c>
      <c r="U27" s="198">
        <f>'19-01 catch, overcatch, limits'!J29</f>
        <v>10845.199999999999</v>
      </c>
      <c r="V27" s="618"/>
      <c r="W27" s="619"/>
      <c r="X27" s="619"/>
      <c r="Y27" s="619"/>
      <c r="Z27" s="620"/>
      <c r="AA27" s="550"/>
      <c r="AB27" s="7"/>
      <c r="AD27" s="1"/>
    </row>
    <row r="28" spans="1:33" x14ac:dyDescent="0.25">
      <c r="A28" s="13"/>
      <c r="B28" s="6"/>
      <c r="C28" s="685"/>
      <c r="D28" s="677"/>
      <c r="E28" s="140" t="s">
        <v>226</v>
      </c>
      <c r="F28" s="149">
        <f>'19-01 base annual limits'!M30</f>
        <v>16939.45</v>
      </c>
      <c r="G28" s="448">
        <v>16704.349609375</v>
      </c>
      <c r="H28" s="447">
        <v>15917.6474609375</v>
      </c>
      <c r="I28" s="447">
        <v>15180.9072265625</v>
      </c>
      <c r="J28" s="447">
        <v>8927.876953125</v>
      </c>
      <c r="K28" s="598"/>
      <c r="L28" s="599"/>
      <c r="M28" s="600"/>
      <c r="N28" s="238">
        <f>'19-01 base annual limits'!P30</f>
        <v>0</v>
      </c>
      <c r="O28" s="238">
        <f>'19-01 catch, overcatch, limits'!I30</f>
        <v>0</v>
      </c>
      <c r="P28" s="238">
        <f>'19-01 catch, overcatch, limits'!L30</f>
        <v>0</v>
      </c>
      <c r="Q28" s="618"/>
      <c r="R28" s="619"/>
      <c r="S28" s="620"/>
      <c r="T28" s="200">
        <f>'19-01 catch, overcatch, limits'!G30</f>
        <v>16939.45</v>
      </c>
      <c r="U28" s="198">
        <f>'19-01 catch, overcatch, limits'!J30</f>
        <v>16939.45</v>
      </c>
      <c r="V28" s="618"/>
      <c r="W28" s="619"/>
      <c r="X28" s="619"/>
      <c r="Y28" s="619"/>
      <c r="Z28" s="620"/>
      <c r="AA28" s="550"/>
      <c r="AB28" s="7"/>
    </row>
    <row r="29" spans="1:33" x14ac:dyDescent="0.25">
      <c r="A29" s="13"/>
      <c r="B29" s="6"/>
      <c r="C29" s="311" t="s">
        <v>11</v>
      </c>
      <c r="D29" s="96" t="s">
        <v>68</v>
      </c>
      <c r="E29" s="140" t="s">
        <v>39</v>
      </c>
      <c r="F29" s="149">
        <f>'19-01 base annual limits'!M11</f>
        <v>10473.069644340148</v>
      </c>
      <c r="G29" s="448">
        <v>11322.2374533407</v>
      </c>
      <c r="H29" s="447">
        <v>12289.9747787994</v>
      </c>
      <c r="I29" s="447">
        <v>15180.9072265625</v>
      </c>
      <c r="J29" s="447">
        <v>9640.7666015625</v>
      </c>
      <c r="K29" s="598"/>
      <c r="L29" s="599"/>
      <c r="M29" s="600"/>
      <c r="N29" s="238">
        <f>'19-01 base annual limits'!P11</f>
        <v>0</v>
      </c>
      <c r="O29" s="238">
        <f>'19-01 catch, overcatch, limits'!I11</f>
        <v>0</v>
      </c>
      <c r="P29" s="238">
        <f>'19-01 catch, overcatch, limits'!L11</f>
        <v>0</v>
      </c>
      <c r="Q29" s="618"/>
      <c r="R29" s="619"/>
      <c r="S29" s="620"/>
      <c r="T29" s="200">
        <f>'19-01 catch, overcatch, limits'!G11</f>
        <v>10473.069644340148</v>
      </c>
      <c r="U29" s="198">
        <f>'19-01 catch, overcatch, limits'!J11</f>
        <v>10473.069644340148</v>
      </c>
      <c r="V29" s="618"/>
      <c r="W29" s="619"/>
      <c r="X29" s="619"/>
      <c r="Y29" s="619"/>
      <c r="Z29" s="620"/>
      <c r="AA29" s="550"/>
      <c r="AB29" s="7"/>
    </row>
    <row r="30" spans="1:33" x14ac:dyDescent="0.25">
      <c r="A30" s="13"/>
      <c r="B30" s="6"/>
      <c r="C30" s="684" t="s">
        <v>10</v>
      </c>
      <c r="D30" s="676" t="str">
        <f>'Nominal retained catches'!D29</f>
        <v>DG, S, C</v>
      </c>
      <c r="E30" s="140" t="s">
        <v>40</v>
      </c>
      <c r="F30" s="149">
        <f>'19-01 base annual limits'!M19</f>
        <v>11056.753859710681</v>
      </c>
      <c r="G30" s="449">
        <v>6483.6501464843795</v>
      </c>
      <c r="H30" s="379">
        <v>9789.8685302734393</v>
      </c>
      <c r="I30" s="447">
        <v>8125.5734558105496</v>
      </c>
      <c r="J30" s="447">
        <v>3778.2867431640602</v>
      </c>
      <c r="K30" s="598"/>
      <c r="L30" s="599"/>
      <c r="M30" s="600"/>
      <c r="N30" s="196">
        <f>'19-01 base annual limits'!P18</f>
        <v>4602.9484130859364</v>
      </c>
      <c r="O30" s="238">
        <f>'19-01 catch, overcatch, limits'!I18</f>
        <v>2290.7148681640583</v>
      </c>
      <c r="P30" s="238">
        <f>'19-01 catch, overcatch, limits'!L18</f>
        <v>3691.0207153320239</v>
      </c>
      <c r="Q30" s="618"/>
      <c r="R30" s="619"/>
      <c r="S30" s="620"/>
      <c r="T30" s="200">
        <f>'19-01 catch, overcatch, limits'!G18</f>
        <v>5835.2851318359417</v>
      </c>
      <c r="U30" s="198">
        <f>'19-01 catch, overcatch, limits'!J18</f>
        <v>86.979284667976117</v>
      </c>
      <c r="V30" s="618"/>
      <c r="W30" s="619"/>
      <c r="X30" s="619"/>
      <c r="Y30" s="619"/>
      <c r="Z30" s="620"/>
      <c r="AA30" s="550"/>
      <c r="AB30" s="7"/>
      <c r="AD30" s="453"/>
    </row>
    <row r="31" spans="1:33" x14ac:dyDescent="0.25">
      <c r="A31" s="13"/>
      <c r="B31" s="6"/>
      <c r="C31" s="685"/>
      <c r="D31" s="677"/>
      <c r="E31" s="151" t="s">
        <v>39</v>
      </c>
      <c r="F31" s="542">
        <f>'19-01 base annual limits'!M12</f>
        <v>33211.42578125</v>
      </c>
      <c r="G31" s="415">
        <v>35023.15625</v>
      </c>
      <c r="H31" s="416">
        <v>33005.9375</v>
      </c>
      <c r="I31" s="543">
        <v>30502.0234375</v>
      </c>
      <c r="J31" s="543">
        <v>29418.065215615501</v>
      </c>
      <c r="K31" s="598"/>
      <c r="L31" s="599"/>
      <c r="M31" s="600"/>
      <c r="N31" s="544">
        <f>'19-01 base annual limits'!P12</f>
        <v>1606.2421875</v>
      </c>
      <c r="O31" s="238">
        <f>'19-01 catch, overcatch, limits'!I12</f>
        <v>0</v>
      </c>
      <c r="P31" s="238">
        <f>'19-01 catch, overcatch, limits'!L12</f>
        <v>0</v>
      </c>
      <c r="Q31" s="618"/>
      <c r="R31" s="619"/>
      <c r="S31" s="620"/>
      <c r="T31" s="545">
        <f>'19-01 catch, overcatch, limits'!G12</f>
        <v>33211.42578125</v>
      </c>
      <c r="U31" s="198">
        <f>'19-01 catch, overcatch, limits'!J12</f>
        <v>31605.18359375</v>
      </c>
      <c r="V31" s="618"/>
      <c r="W31" s="619"/>
      <c r="X31" s="619"/>
      <c r="Y31" s="619"/>
      <c r="Z31" s="620"/>
      <c r="AA31" s="550"/>
      <c r="AB31" s="7"/>
      <c r="AD31" s="453"/>
    </row>
    <row r="32" spans="1:33" ht="15.75" thickBot="1" x14ac:dyDescent="0.3">
      <c r="A32" s="13"/>
      <c r="B32" s="6"/>
      <c r="C32" s="515" t="s">
        <v>267</v>
      </c>
      <c r="D32" s="546" t="s">
        <v>64</v>
      </c>
      <c r="E32" s="382" t="s">
        <v>40</v>
      </c>
      <c r="F32" s="547">
        <f>'19-01 base annual limits'!M19</f>
        <v>11056.753859710681</v>
      </c>
      <c r="G32" s="450">
        <v>35023.15625</v>
      </c>
      <c r="H32" s="417">
        <v>33005.9375</v>
      </c>
      <c r="I32" s="418">
        <v>30502.0234375</v>
      </c>
      <c r="J32" s="418">
        <v>29418.065215615501</v>
      </c>
      <c r="K32" s="601"/>
      <c r="L32" s="602"/>
      <c r="M32" s="603"/>
      <c r="N32" s="548">
        <f>'19-01 catch, overcatch, limits'!F19</f>
        <v>0</v>
      </c>
      <c r="O32" s="238">
        <f>'19-01 catch, overcatch, limits'!I19</f>
        <v>0</v>
      </c>
      <c r="P32" s="238">
        <f>'19-01 catch, overcatch, limits'!L19</f>
        <v>0</v>
      </c>
      <c r="Q32" s="621"/>
      <c r="R32" s="622"/>
      <c r="S32" s="623"/>
      <c r="T32" s="549">
        <f>'19-01 catch, overcatch, limits'!G19</f>
        <v>11056.753859710681</v>
      </c>
      <c r="U32" s="411">
        <f>'19-01 catch, overcatch, limits'!J19</f>
        <v>11056.753859710681</v>
      </c>
      <c r="V32" s="621"/>
      <c r="W32" s="622"/>
      <c r="X32" s="622"/>
      <c r="Y32" s="622"/>
      <c r="Z32" s="623"/>
      <c r="AA32" s="551"/>
      <c r="AB32" s="7"/>
    </row>
    <row r="33" spans="1:39" ht="15.75" thickBot="1" x14ac:dyDescent="0.3">
      <c r="A33" s="13"/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10"/>
    </row>
    <row r="34" spans="1:39" x14ac:dyDescent="0.25">
      <c r="AD34" s="199"/>
    </row>
    <row r="35" spans="1:39" x14ac:dyDescent="0.25">
      <c r="C35" s="33" t="s">
        <v>126</v>
      </c>
      <c r="D35" s="34"/>
      <c r="E35" s="34"/>
      <c r="F35" s="34"/>
      <c r="G35" s="34"/>
      <c r="H35" s="34"/>
    </row>
    <row r="36" spans="1:39" x14ac:dyDescent="0.25">
      <c r="C36" s="1" t="s">
        <v>89</v>
      </c>
      <c r="D36" t="s">
        <v>165</v>
      </c>
      <c r="AD36" s="617"/>
      <c r="AE36" s="617"/>
      <c r="AF36" s="617"/>
      <c r="AG36" s="617"/>
      <c r="AH36" s="617"/>
      <c r="AI36" s="617"/>
      <c r="AJ36" s="617"/>
      <c r="AK36" s="617"/>
      <c r="AL36" s="617"/>
      <c r="AM36" s="617"/>
    </row>
    <row r="37" spans="1:39" x14ac:dyDescent="0.25">
      <c r="C37" s="1" t="s">
        <v>90</v>
      </c>
      <c r="D37" t="s">
        <v>166</v>
      </c>
    </row>
    <row r="38" spans="1:39" x14ac:dyDescent="0.25">
      <c r="C38" s="1" t="s">
        <v>91</v>
      </c>
      <c r="D38" t="s">
        <v>169</v>
      </c>
    </row>
    <row r="40" spans="1:39" x14ac:dyDescent="0.25">
      <c r="C40" s="33" t="s">
        <v>208</v>
      </c>
      <c r="D40" s="34"/>
      <c r="E40" s="34"/>
      <c r="F40" s="34"/>
      <c r="G40" s="34"/>
      <c r="H40" s="34"/>
    </row>
    <row r="41" spans="1:39" x14ac:dyDescent="0.25">
      <c r="C41" s="1" t="s">
        <v>3</v>
      </c>
      <c r="D41" t="s">
        <v>152</v>
      </c>
    </row>
    <row r="42" spans="1:39" x14ac:dyDescent="0.25">
      <c r="C42" s="1" t="s">
        <v>133</v>
      </c>
      <c r="D42" t="s">
        <v>216</v>
      </c>
    </row>
    <row r="44" spans="1:39" x14ac:dyDescent="0.25">
      <c r="C44" s="297" t="s">
        <v>140</v>
      </c>
      <c r="D44" s="297"/>
      <c r="E44" s="297"/>
      <c r="F44" s="297"/>
    </row>
    <row r="45" spans="1:39" x14ac:dyDescent="0.25">
      <c r="C45" s="1" t="s">
        <v>40</v>
      </c>
      <c r="D45" t="s">
        <v>142</v>
      </c>
      <c r="E45" s="166"/>
      <c r="F45" s="166"/>
    </row>
    <row r="46" spans="1:39" x14ac:dyDescent="0.25">
      <c r="C46" s="1" t="s">
        <v>41</v>
      </c>
      <c r="D46" t="s">
        <v>145</v>
      </c>
      <c r="E46" s="166"/>
      <c r="F46" s="166"/>
    </row>
    <row r="47" spans="1:39" x14ac:dyDescent="0.25">
      <c r="C47" s="1" t="s">
        <v>39</v>
      </c>
      <c r="D47" t="s">
        <v>141</v>
      </c>
      <c r="E47" s="166"/>
    </row>
    <row r="48" spans="1:39" x14ac:dyDescent="0.25">
      <c r="C48" s="1" t="s">
        <v>223</v>
      </c>
      <c r="D48" t="s">
        <v>224</v>
      </c>
    </row>
    <row r="49" spans="3:13" x14ac:dyDescent="0.25">
      <c r="C49" s="1" t="s">
        <v>226</v>
      </c>
      <c r="D49" t="s">
        <v>225</v>
      </c>
    </row>
    <row r="51" spans="3:13" x14ac:dyDescent="0.25">
      <c r="D51" t="s">
        <v>101</v>
      </c>
      <c r="E51" t="s">
        <v>151</v>
      </c>
    </row>
    <row r="53" spans="3:13" x14ac:dyDescent="0.25">
      <c r="D53" s="199">
        <v>-12345</v>
      </c>
      <c r="E53" t="s">
        <v>143</v>
      </c>
    </row>
    <row r="55" spans="3:13" x14ac:dyDescent="0.25">
      <c r="D55" s="617" t="s">
        <v>233</v>
      </c>
      <c r="E55" s="617"/>
      <c r="F55" s="617"/>
      <c r="G55" s="617"/>
      <c r="H55" s="617"/>
      <c r="I55" s="617"/>
      <c r="J55" s="617"/>
      <c r="K55" s="617"/>
      <c r="L55" s="617"/>
      <c r="M55" s="617"/>
    </row>
    <row r="57" spans="3:13" x14ac:dyDescent="0.25">
      <c r="C57" s="167"/>
      <c r="D57" t="s">
        <v>144</v>
      </c>
    </row>
  </sheetData>
  <mergeCells count="117">
    <mergeCell ref="D30:D31"/>
    <mergeCell ref="C18:C19"/>
    <mergeCell ref="D18:D19"/>
    <mergeCell ref="P20:P22"/>
    <mergeCell ref="Q20:Q22"/>
    <mergeCell ref="R20:R22"/>
    <mergeCell ref="S20:S22"/>
    <mergeCell ref="P8:P10"/>
    <mergeCell ref="Q8:Q10"/>
    <mergeCell ref="R8:R10"/>
    <mergeCell ref="S8:S10"/>
    <mergeCell ref="C27:C28"/>
    <mergeCell ref="D27:D28"/>
    <mergeCell ref="C15:C17"/>
    <mergeCell ref="D15:D17"/>
    <mergeCell ref="C11:C14"/>
    <mergeCell ref="D11:D14"/>
    <mergeCell ref="C30:C31"/>
    <mergeCell ref="C8:C10"/>
    <mergeCell ref="D8:D10"/>
    <mergeCell ref="C20:C22"/>
    <mergeCell ref="D20:D22"/>
    <mergeCell ref="AD36:AM36"/>
    <mergeCell ref="G6:G7"/>
    <mergeCell ref="X6:X7"/>
    <mergeCell ref="AA8:AA10"/>
    <mergeCell ref="AA6:AA7"/>
    <mergeCell ref="T6:T7"/>
    <mergeCell ref="Q6:Q7"/>
    <mergeCell ref="L6:L7"/>
    <mergeCell ref="Z11:Z14"/>
    <mergeCell ref="K6:K7"/>
    <mergeCell ref="H6:H7"/>
    <mergeCell ref="I6:I7"/>
    <mergeCell ref="U6:U7"/>
    <mergeCell ref="Y6:Y7"/>
    <mergeCell ref="M6:M7"/>
    <mergeCell ref="Y11:Y14"/>
    <mergeCell ref="Q24:S32"/>
    <mergeCell ref="T20:T22"/>
    <mergeCell ref="U20:U22"/>
    <mergeCell ref="V20:V22"/>
    <mergeCell ref="Y8:Y10"/>
    <mergeCell ref="N20:N22"/>
    <mergeCell ref="O20:O22"/>
    <mergeCell ref="AA11:AA14"/>
    <mergeCell ref="Q18:Q19"/>
    <mergeCell ref="R18:R19"/>
    <mergeCell ref="S18:S19"/>
    <mergeCell ref="B2:AB2"/>
    <mergeCell ref="C6:C7"/>
    <mergeCell ref="D6:D7"/>
    <mergeCell ref="J6:J7"/>
    <mergeCell ref="N6:N7"/>
    <mergeCell ref="V6:V7"/>
    <mergeCell ref="C5:E5"/>
    <mergeCell ref="F5:F7"/>
    <mergeCell ref="W6:W7"/>
    <mergeCell ref="O6:O7"/>
    <mergeCell ref="P6:P7"/>
    <mergeCell ref="E6:E7"/>
    <mergeCell ref="R6:R7"/>
    <mergeCell ref="Z6:Z7"/>
    <mergeCell ref="N5:S5"/>
    <mergeCell ref="S6:S7"/>
    <mergeCell ref="T5:Y5"/>
    <mergeCell ref="G5:M5"/>
    <mergeCell ref="AA15:AA23"/>
    <mergeCell ref="T8:T10"/>
    <mergeCell ref="D55:M55"/>
    <mergeCell ref="V24:Z32"/>
    <mergeCell ref="S11:S12"/>
    <mergeCell ref="T11:T12"/>
    <mergeCell ref="U11:U12"/>
    <mergeCell ref="V11:V12"/>
    <mergeCell ref="W11:W12"/>
    <mergeCell ref="N11:N12"/>
    <mergeCell ref="O11:O12"/>
    <mergeCell ref="P11:P12"/>
    <mergeCell ref="Q11:Q12"/>
    <mergeCell ref="R11:R12"/>
    <mergeCell ref="Z18:Z19"/>
    <mergeCell ref="T16:T17"/>
    <mergeCell ref="U16:U17"/>
    <mergeCell ref="V16:V17"/>
    <mergeCell ref="W16:W17"/>
    <mergeCell ref="X16:X17"/>
    <mergeCell ref="Y16:Y17"/>
    <mergeCell ref="X18:X19"/>
    <mergeCell ref="Y18:Y19"/>
    <mergeCell ref="T18:T19"/>
    <mergeCell ref="W20:W22"/>
    <mergeCell ref="X20:X22"/>
    <mergeCell ref="K24:M32"/>
    <mergeCell ref="Z16:Z17"/>
    <mergeCell ref="U18:U19"/>
    <mergeCell ref="V18:V19"/>
    <mergeCell ref="W18:W19"/>
    <mergeCell ref="Y20:Y22"/>
    <mergeCell ref="Z20:Z22"/>
    <mergeCell ref="N8:N10"/>
    <mergeCell ref="O8:O10"/>
    <mergeCell ref="X11:X12"/>
    <mergeCell ref="U8:U10"/>
    <mergeCell ref="V8:V10"/>
    <mergeCell ref="W8:W10"/>
    <mergeCell ref="X8:X10"/>
    <mergeCell ref="Z8:Z10"/>
    <mergeCell ref="N16:N17"/>
    <mergeCell ref="O16:O17"/>
    <mergeCell ref="P16:P17"/>
    <mergeCell ref="Q16:Q17"/>
    <mergeCell ref="R16:R17"/>
    <mergeCell ref="S16:S17"/>
    <mergeCell ref="N18:N19"/>
    <mergeCell ref="O18:O19"/>
    <mergeCell ref="P18:P19"/>
  </mergeCells>
  <conditionalFormatting sqref="T24:U32">
    <cfRule type="expression" dxfId="36" priority="1">
      <formula>T24&lt;0</formula>
    </cfRule>
    <cfRule type="expression" dxfId="35" priority="2">
      <formula>IF(T24&lt;&gt;"none", T24&lt;$F24, 0)</formula>
    </cfRule>
  </conditionalFormatting>
  <conditionalFormatting sqref="T13:X13">
    <cfRule type="expression" dxfId="34" priority="3">
      <formula>T13&lt;0</formula>
    </cfRule>
    <cfRule type="expression" dxfId="33" priority="4">
      <formula>IF(T13&lt;&gt;"none", T13&lt;$F13, 0)</formula>
    </cfRule>
  </conditionalFormatting>
  <conditionalFormatting sqref="T15:Z15">
    <cfRule type="expression" dxfId="32" priority="7">
      <formula>T15&lt;0</formula>
    </cfRule>
    <cfRule type="expression" dxfId="31" priority="10">
      <formula>IF(T15&lt;&gt;"none", T15&lt;$F15, 0)</formula>
    </cfRule>
  </conditionalFormatting>
  <pageMargins left="0.7" right="0.7" top="0.75" bottom="0.75" header="0.3" footer="0.3"/>
  <pageSetup paperSize="9" orientation="portrait" r:id="rId1"/>
  <ignoredErrors>
    <ignoredError sqref="F3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42398-6CB9-411C-A905-295A81E3CEE8}">
  <dimension ref="A1:E3"/>
  <sheetViews>
    <sheetView workbookViewId="0">
      <selection activeCell="J7" sqref="J7:K7"/>
    </sheetView>
  </sheetViews>
  <sheetFormatPr defaultRowHeight="15" x14ac:dyDescent="0.25"/>
  <cols>
    <col min="1" max="1" width="19.28515625" customWidth="1"/>
    <col min="2" max="2" width="10.28515625" customWidth="1"/>
    <col min="3" max="3" width="12" customWidth="1"/>
  </cols>
  <sheetData>
    <row r="1" spans="1:5" ht="15" customHeight="1" x14ac:dyDescent="0.25">
      <c r="A1" s="676" t="s">
        <v>51</v>
      </c>
      <c r="B1" s="734" t="s">
        <v>231</v>
      </c>
      <c r="C1" s="734" t="s">
        <v>139</v>
      </c>
      <c r="D1" s="744" t="s">
        <v>278</v>
      </c>
      <c r="E1" s="745"/>
    </row>
    <row r="2" spans="1:5" x14ac:dyDescent="0.25">
      <c r="A2" s="677"/>
      <c r="B2" s="735"/>
      <c r="C2" s="735"/>
      <c r="D2" s="12">
        <v>2025</v>
      </c>
      <c r="E2" s="12">
        <v>2026</v>
      </c>
    </row>
    <row r="3" spans="1:5" ht="18" customHeight="1" x14ac:dyDescent="0.25">
      <c r="A3" s="742" t="s">
        <v>230</v>
      </c>
      <c r="B3" s="138" t="s">
        <v>41</v>
      </c>
      <c r="C3" s="743">
        <f>'19-01 catch, overcatch, limits'!E24</f>
        <v>32623.200000000001</v>
      </c>
      <c r="D3" s="743">
        <f>'19-01 annual limits'!Y15</f>
        <v>32623.200000000001</v>
      </c>
      <c r="E3" s="743">
        <f>'19-01 annual limits'!Z15</f>
        <v>32623.200000000001</v>
      </c>
    </row>
  </sheetData>
  <mergeCells count="4">
    <mergeCell ref="C1:C2"/>
    <mergeCell ref="B1:B2"/>
    <mergeCell ref="A1:A2"/>
    <mergeCell ref="D1:E1"/>
  </mergeCells>
  <conditionalFormatting sqref="C3:E3">
    <cfRule type="expression" dxfId="0" priority="1">
      <formula>C3&lt;0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F4B51-B587-4AEE-BB2C-5389560E516E}">
  <dimension ref="A1:AA48"/>
  <sheetViews>
    <sheetView showGridLines="0" topLeftCell="A2" zoomScaleNormal="100" workbookViewId="0">
      <selection activeCell="U21" sqref="U21"/>
    </sheetView>
  </sheetViews>
  <sheetFormatPr defaultColWidth="11.42578125" defaultRowHeight="15" x14ac:dyDescent="0.25"/>
  <cols>
    <col min="1" max="1" width="2.85546875" style="13" customWidth="1"/>
    <col min="2" max="2" width="2.85546875" customWidth="1"/>
    <col min="3" max="3" width="10.5703125" bestFit="1" customWidth="1"/>
    <col min="4" max="4" width="10.5703125" customWidth="1"/>
    <col min="5" max="10" width="11.42578125" customWidth="1"/>
    <col min="11" max="11" width="15.5703125" customWidth="1"/>
    <col min="12" max="13" width="11.42578125" customWidth="1"/>
    <col min="14" max="14" width="12.85546875" bestFit="1" customWidth="1"/>
    <col min="15" max="15" width="19.7109375" customWidth="1"/>
    <col min="16" max="16" width="2.85546875" customWidth="1"/>
    <col min="17" max="17" width="2.85546875" style="13" customWidth="1"/>
    <col min="18" max="27" width="11.42578125" style="13"/>
  </cols>
  <sheetData>
    <row r="1" spans="1:27" ht="15" customHeight="1" thickBot="1" x14ac:dyDescent="0.3">
      <c r="A1"/>
      <c r="Q1"/>
      <c r="R1"/>
      <c r="S1"/>
      <c r="T1"/>
      <c r="U1"/>
      <c r="V1"/>
      <c r="W1"/>
      <c r="X1"/>
      <c r="Y1"/>
      <c r="Z1"/>
      <c r="AA1"/>
    </row>
    <row r="2" spans="1:27" ht="48.75" customHeight="1" thickBot="1" x14ac:dyDescent="0.3">
      <c r="A2"/>
      <c r="B2" s="559" t="s">
        <v>122</v>
      </c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1"/>
      <c r="Q2"/>
      <c r="R2"/>
      <c r="S2"/>
      <c r="T2"/>
      <c r="U2"/>
      <c r="V2"/>
      <c r="W2"/>
      <c r="X2"/>
      <c r="Y2"/>
      <c r="Z2"/>
      <c r="AA2"/>
    </row>
    <row r="3" spans="1:27" s="13" customFormat="1" ht="15" customHeight="1" thickBot="1" x14ac:dyDescent="0.3"/>
    <row r="4" spans="1:27" ht="15" customHeight="1" thickBot="1" x14ac:dyDescent="0.3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  <c r="R4" s="33" t="s">
        <v>126</v>
      </c>
      <c r="S4" s="34"/>
      <c r="T4" s="34"/>
      <c r="U4" s="34"/>
    </row>
    <row r="5" spans="1:27" ht="15" customHeight="1" x14ac:dyDescent="0.25">
      <c r="B5" s="6"/>
      <c r="C5" s="712" t="s">
        <v>273</v>
      </c>
      <c r="D5" s="727"/>
      <c r="E5" s="719" t="s">
        <v>250</v>
      </c>
      <c r="F5" s="720"/>
      <c r="G5" s="720"/>
      <c r="H5" s="720"/>
      <c r="I5" s="720"/>
      <c r="J5" s="721"/>
      <c r="K5" s="712" t="s">
        <v>59</v>
      </c>
      <c r="L5" s="727"/>
      <c r="M5" s="728" t="s">
        <v>276</v>
      </c>
      <c r="N5" s="729"/>
      <c r="O5" s="730"/>
      <c r="P5" s="7"/>
      <c r="R5" s="25" t="s">
        <v>92</v>
      </c>
      <c r="S5" s="14" t="s">
        <v>93</v>
      </c>
      <c r="T5" s="25"/>
      <c r="U5" s="25"/>
      <c r="V5" s="26"/>
      <c r="W5" s="26"/>
      <c r="X5" s="26"/>
      <c r="Y5" s="26"/>
      <c r="Z5" s="26"/>
    </row>
    <row r="6" spans="1:27" x14ac:dyDescent="0.25">
      <c r="B6" s="6"/>
      <c r="C6" s="632" t="s">
        <v>61</v>
      </c>
      <c r="D6" s="724" t="s">
        <v>54</v>
      </c>
      <c r="E6" s="708">
        <v>2014</v>
      </c>
      <c r="F6" s="646">
        <v>2015</v>
      </c>
      <c r="G6" s="646" t="s">
        <v>58</v>
      </c>
      <c r="H6" s="646" t="s">
        <v>57</v>
      </c>
      <c r="I6" s="646">
        <v>2018</v>
      </c>
      <c r="J6" s="662" t="s">
        <v>251</v>
      </c>
      <c r="K6" s="708" t="s">
        <v>32</v>
      </c>
      <c r="L6" s="662" t="s">
        <v>76</v>
      </c>
      <c r="M6" s="708" t="s">
        <v>77</v>
      </c>
      <c r="N6" s="589" t="s">
        <v>60</v>
      </c>
      <c r="O6" s="168" t="s">
        <v>135</v>
      </c>
      <c r="P6" s="7"/>
      <c r="R6" s="1" t="s">
        <v>85</v>
      </c>
      <c r="S6" t="s">
        <v>86</v>
      </c>
      <c r="T6"/>
      <c r="U6"/>
    </row>
    <row r="7" spans="1:27" ht="15" customHeight="1" thickBot="1" x14ac:dyDescent="0.3">
      <c r="B7" s="6"/>
      <c r="C7" s="633"/>
      <c r="D7" s="725"/>
      <c r="E7" s="726"/>
      <c r="F7" s="647"/>
      <c r="G7" s="647"/>
      <c r="H7" s="647"/>
      <c r="I7" s="647"/>
      <c r="J7" s="588"/>
      <c r="K7" s="726"/>
      <c r="L7" s="710"/>
      <c r="M7" s="726"/>
      <c r="N7" s="590"/>
      <c r="O7" s="137" t="s">
        <v>149</v>
      </c>
      <c r="P7" s="7"/>
      <c r="R7" s="1" t="s">
        <v>87</v>
      </c>
      <c r="S7" t="s">
        <v>88</v>
      </c>
      <c r="T7"/>
      <c r="U7"/>
    </row>
    <row r="8" spans="1:27" x14ac:dyDescent="0.25">
      <c r="A8"/>
      <c r="B8" s="23"/>
      <c r="C8" s="40" t="str">
        <f>'Nominal retained catches'!B5</f>
        <v>AUS</v>
      </c>
      <c r="D8" s="153" t="str">
        <f>'Nominal retained catches'!D5</f>
        <v>DD, C</v>
      </c>
      <c r="E8" s="142">
        <f>'Nominal retained catches'!E5</f>
        <v>19.5163564972624</v>
      </c>
      <c r="F8" s="92">
        <f>'Nominal retained catches'!F5</f>
        <v>73.162355209878996</v>
      </c>
      <c r="G8" s="92">
        <f>AVERAGE('Nominal retained catches'!H5:J5)</f>
        <v>50.227314505753405</v>
      </c>
      <c r="H8" s="92">
        <f>MAX('Nominal retained catches'!H5:J5)</f>
        <v>66.191003426909404</v>
      </c>
      <c r="I8" s="92">
        <f>'Nominal retained catches'!I5</f>
        <v>38.868861522168999</v>
      </c>
      <c r="J8" s="283">
        <f>'Nominal retained catches'!O5</f>
        <v>35.652233367859999</v>
      </c>
      <c r="K8" s="193">
        <v>2014</v>
      </c>
      <c r="L8" s="120">
        <f>E8</f>
        <v>19.5163564972624</v>
      </c>
      <c r="M8" s="185" t="s">
        <v>53</v>
      </c>
      <c r="N8" s="186" t="s">
        <v>18</v>
      </c>
      <c r="O8" s="89">
        <v>2000</v>
      </c>
      <c r="P8" s="24"/>
      <c r="Q8"/>
      <c r="R8"/>
      <c r="S8"/>
      <c r="T8"/>
      <c r="U8"/>
    </row>
    <row r="9" spans="1:27" x14ac:dyDescent="0.25">
      <c r="B9" s="6"/>
      <c r="C9" s="42" t="str">
        <f>'Nominal retained catches'!B6</f>
        <v>BGD</v>
      </c>
      <c r="D9" s="154" t="str">
        <f>'Nominal retained catches'!D6</f>
        <v>LD, C</v>
      </c>
      <c r="E9" s="141">
        <f>'Nominal retained catches'!E6</f>
        <v>0</v>
      </c>
      <c r="F9" s="93">
        <f>'Nominal retained catches'!F6</f>
        <v>0</v>
      </c>
      <c r="G9" s="93">
        <f>AVERAGE('Nominal retained catches'!H6:J6)</f>
        <v>0</v>
      </c>
      <c r="H9" s="93">
        <f>MAX('Nominal retained catches'!H6:J6)</f>
        <v>0</v>
      </c>
      <c r="I9" s="93">
        <f>'Nominal retained catches'!I6</f>
        <v>0</v>
      </c>
      <c r="J9" s="283">
        <f>'Nominal retained catches'!O6</f>
        <v>0</v>
      </c>
      <c r="K9" s="191">
        <v>2014</v>
      </c>
      <c r="L9" s="105">
        <f>E9</f>
        <v>0</v>
      </c>
      <c r="M9" s="187" t="s">
        <v>53</v>
      </c>
      <c r="N9" s="188" t="s">
        <v>18</v>
      </c>
      <c r="O9" s="90">
        <v>2000</v>
      </c>
      <c r="P9" s="7"/>
      <c r="R9" s="1" t="s">
        <v>89</v>
      </c>
      <c r="S9" t="s">
        <v>165</v>
      </c>
      <c r="T9"/>
      <c r="U9"/>
    </row>
    <row r="10" spans="1:27" x14ac:dyDescent="0.25">
      <c r="B10" s="6"/>
      <c r="C10" s="42" t="str">
        <f>'Nominal retained catches'!B7</f>
        <v>CHN</v>
      </c>
      <c r="D10" s="154" t="str">
        <f>'Nominal retained catches'!D7</f>
        <v>DG, DW</v>
      </c>
      <c r="E10" s="141">
        <f>'Nominal retained catches'!E7</f>
        <v>1077.6790132522599</v>
      </c>
      <c r="F10" s="93">
        <f>'Nominal retained catches'!F7</f>
        <v>1792.62599182129</v>
      </c>
      <c r="G10" s="93">
        <f>AVERAGE('Nominal retained catches'!H7:J7)</f>
        <v>3605.2546675999965</v>
      </c>
      <c r="H10" s="93">
        <f>MAX('Nominal retained catches'!H7:J7)</f>
        <v>4641.2020263671902</v>
      </c>
      <c r="I10" s="93">
        <f>'Nominal retained catches'!I7</f>
        <v>4641.2020263671902</v>
      </c>
      <c r="J10" s="283">
        <f>'Nominal retained catches'!O7</f>
        <v>4468.72998046875</v>
      </c>
      <c r="K10" s="191" t="s">
        <v>148</v>
      </c>
      <c r="L10" s="105">
        <f>H10</f>
        <v>4641.2020263671902</v>
      </c>
      <c r="M10" s="187">
        <v>0</v>
      </c>
      <c r="N10" s="188" t="s">
        <v>1</v>
      </c>
      <c r="O10" s="90">
        <f>L10*(1-M10)</f>
        <v>4641.2020263671902</v>
      </c>
      <c r="P10" s="7"/>
      <c r="R10" s="1" t="s">
        <v>90</v>
      </c>
      <c r="S10" t="s">
        <v>166</v>
      </c>
      <c r="T10"/>
      <c r="U10"/>
    </row>
    <row r="11" spans="1:27" x14ac:dyDescent="0.25">
      <c r="B11" s="6"/>
      <c r="C11" s="42" t="str">
        <f>'Nominal retained catches'!B8</f>
        <v>COM</v>
      </c>
      <c r="D11" s="154" t="str">
        <f>'Nominal retained catches'!D8</f>
        <v>LD, S, C</v>
      </c>
      <c r="E11" s="141">
        <f>'Nominal retained catches'!E8</f>
        <v>1399.0149974823</v>
      </c>
      <c r="F11" s="93">
        <f>'Nominal retained catches'!F8</f>
        <v>1747.5367889404299</v>
      </c>
      <c r="G11" s="93">
        <f>AVERAGE('Nominal retained catches'!H8:J8)</f>
        <v>4426.4159393310538</v>
      </c>
      <c r="H11" s="93">
        <f>MAX('Nominal retained catches'!H8:J8)</f>
        <v>5279.2092437744104</v>
      </c>
      <c r="I11" s="93">
        <f>'Nominal retained catches'!I8</f>
        <v>3194.0311889648401</v>
      </c>
      <c r="J11" s="283">
        <f>'Nominal retained catches'!O8</f>
        <v>5052.4344196319598</v>
      </c>
      <c r="K11" s="191" t="s">
        <v>148</v>
      </c>
      <c r="L11" s="105">
        <f>H11</f>
        <v>5279.2092437744104</v>
      </c>
      <c r="M11" s="187" t="s">
        <v>53</v>
      </c>
      <c r="N11" s="188" t="s">
        <v>13</v>
      </c>
      <c r="O11" s="90">
        <f>H11</f>
        <v>5279.2092437744104</v>
      </c>
      <c r="P11" s="7"/>
      <c r="R11" s="1" t="s">
        <v>91</v>
      </c>
      <c r="S11" t="s">
        <v>169</v>
      </c>
      <c r="T11"/>
      <c r="U11"/>
    </row>
    <row r="12" spans="1:27" x14ac:dyDescent="0.25">
      <c r="B12" s="6"/>
      <c r="C12" s="42" t="str">
        <f>'Nominal retained catches'!B9</f>
        <v>EUR</v>
      </c>
      <c r="D12" s="154" t="str">
        <f>'Nominal retained catches'!D9</f>
        <v>DD, C</v>
      </c>
      <c r="E12" s="141">
        <f>'Nominal retained catches'!E9</f>
        <v>92504.154886245698</v>
      </c>
      <c r="F12" s="93">
        <f>'Nominal retained catches'!F9</f>
        <v>87344.1846060885</v>
      </c>
      <c r="G12" s="93">
        <f>AVERAGE('Nominal retained catches'!H9:J9)</f>
        <v>80037.844922837801</v>
      </c>
      <c r="H12" s="93">
        <f>MAX('Nominal retained catches'!H9:J9)</f>
        <v>87897.433378063099</v>
      </c>
      <c r="I12" s="93">
        <f>'Nominal retained catches'!I9</f>
        <v>79963.508296578206</v>
      </c>
      <c r="J12" s="283">
        <f>'Nominal retained catches'!O9</f>
        <v>71561.064461748203</v>
      </c>
      <c r="K12" s="191">
        <v>2014</v>
      </c>
      <c r="L12" s="105">
        <f>E12</f>
        <v>92504.154886245698</v>
      </c>
      <c r="M12" s="187">
        <v>0.21</v>
      </c>
      <c r="N12" s="188" t="s">
        <v>1</v>
      </c>
      <c r="O12" s="90">
        <f>L12*(1-M12)</f>
        <v>73078.282360134108</v>
      </c>
      <c r="P12" s="7"/>
    </row>
    <row r="13" spans="1:27" x14ac:dyDescent="0.25">
      <c r="B13" s="6"/>
      <c r="C13" s="42" t="str">
        <f>'Nominal retained catches'!B10</f>
        <v>FRAT</v>
      </c>
      <c r="D13" s="154" t="str">
        <f>'Nominal retained catches'!D10</f>
        <v>DD, C</v>
      </c>
      <c r="E13" s="141">
        <f>'Nominal retained catches'!E10</f>
        <v>0</v>
      </c>
      <c r="F13" s="93">
        <f>'Nominal retained catches'!F10</f>
        <v>0</v>
      </c>
      <c r="G13" s="93">
        <f>AVERAGE('Nominal retained catches'!H10:J10)</f>
        <v>0</v>
      </c>
      <c r="H13" s="93">
        <f>MAX('Nominal retained catches'!H10:J10)</f>
        <v>0</v>
      </c>
      <c r="I13" s="93">
        <f>'Nominal retained catches'!I10</f>
        <v>0</v>
      </c>
      <c r="J13" s="283">
        <f>'Nominal retained catches'!O10</f>
        <v>0</v>
      </c>
      <c r="K13" s="191">
        <v>2014</v>
      </c>
      <c r="L13" s="105">
        <f>F13</f>
        <v>0</v>
      </c>
      <c r="M13" s="187" t="s">
        <v>53</v>
      </c>
      <c r="N13" s="188" t="s">
        <v>71</v>
      </c>
      <c r="O13" s="90">
        <v>500</v>
      </c>
      <c r="P13" s="7"/>
    </row>
    <row r="14" spans="1:27" x14ac:dyDescent="0.25">
      <c r="B14" s="6"/>
      <c r="C14" s="42" t="str">
        <f>'Nominal retained catches'!B11</f>
        <v>GBR</v>
      </c>
      <c r="D14" s="154" t="str">
        <f>'Nominal retained catches'!D11</f>
        <v>DD, DW</v>
      </c>
      <c r="E14" s="141">
        <f>'Nominal retained catches'!E11</f>
        <v>87.530826330184894</v>
      </c>
      <c r="F14" s="93">
        <f>'Nominal retained catches'!F11</f>
        <v>87.109538435936003</v>
      </c>
      <c r="G14" s="93">
        <f>AVERAGE('Nominal retained catches'!H11:J11)</f>
        <v>17.805893247490932</v>
      </c>
      <c r="H14" s="93">
        <f>MAX('Nominal retained catches'!H11:J11)</f>
        <v>23.331980705261198</v>
      </c>
      <c r="I14" s="93">
        <f>'Nominal retained catches'!I11</f>
        <v>12.880166053771999</v>
      </c>
      <c r="J14" s="283">
        <f>'Nominal retained catches'!O11</f>
        <v>1.12943994998932</v>
      </c>
      <c r="K14" s="191">
        <v>2014</v>
      </c>
      <c r="L14" s="105">
        <f>E14</f>
        <v>87.530826330184894</v>
      </c>
      <c r="M14" s="187" t="s">
        <v>53</v>
      </c>
      <c r="N14" s="188" t="s">
        <v>71</v>
      </c>
      <c r="O14" s="90">
        <v>500</v>
      </c>
      <c r="P14" s="7"/>
    </row>
    <row r="15" spans="1:27" x14ac:dyDescent="0.25">
      <c r="B15" s="6"/>
      <c r="C15" s="42" t="str">
        <f>'Nominal retained catches'!B12</f>
        <v>IDN</v>
      </c>
      <c r="D15" s="154" t="str">
        <f>'Nominal retained catches'!D12</f>
        <v>DG, C</v>
      </c>
      <c r="E15" s="345">
        <f>'Nominal retained catches'!E12</f>
        <v>51620.883865356402</v>
      </c>
      <c r="F15" s="346">
        <f>'Nominal retained catches'!F12</f>
        <v>35730.4047050476</v>
      </c>
      <c r="G15" s="93">
        <f>AVERAGE('Nominal retained catches'!H12:J12)</f>
        <v>40133.651323238999</v>
      </c>
      <c r="H15" s="93">
        <f>MAX('Nominal retained catches'!H12:J12)</f>
        <v>47906.565187454202</v>
      </c>
      <c r="I15" s="347">
        <f>'Nominal retained catches'!I12</f>
        <v>36169.079788208001</v>
      </c>
      <c r="J15" s="283">
        <f>'Nominal retained catches'!O12</f>
        <v>56114.030319213904</v>
      </c>
      <c r="K15" s="191">
        <v>2014</v>
      </c>
      <c r="L15" s="105">
        <f>E15</f>
        <v>51620.883865356402</v>
      </c>
      <c r="M15" s="187">
        <v>0.12</v>
      </c>
      <c r="N15" s="188" t="s">
        <v>150</v>
      </c>
      <c r="O15" s="90">
        <f>L15*(1-M15)</f>
        <v>45426.377801513634</v>
      </c>
      <c r="P15" s="7"/>
      <c r="R15"/>
      <c r="S15"/>
      <c r="T15"/>
    </row>
    <row r="16" spans="1:27" hidden="1" x14ac:dyDescent="0.25">
      <c r="B16" s="6"/>
      <c r="C16" s="180" t="str">
        <f>'Nominal retained catches'!B13</f>
        <v>IND</v>
      </c>
      <c r="D16" s="181" t="str">
        <f>'Nominal retained catches'!D13</f>
        <v>DG, C</v>
      </c>
      <c r="E16" s="182">
        <f>'Nominal retained catches'!E13</f>
        <v>33427.2389249802</v>
      </c>
      <c r="F16" s="183">
        <f>'Nominal retained catches'!F13</f>
        <v>17159.388103008299</v>
      </c>
      <c r="G16" s="183">
        <f>AVERAGE('Nominal retained catches'!H13:J13)</f>
        <v>28324.805326104204</v>
      </c>
      <c r="H16" s="183">
        <f>MAX('Nominal retained catches'!H13:J13)</f>
        <v>37488.128093719497</v>
      </c>
      <c r="I16" s="183">
        <f>'Nominal retained catches'!I13</f>
        <v>37488.128093719497</v>
      </c>
      <c r="J16" s="454">
        <f>'Nominal retained catches'!O13</f>
        <v>31163</v>
      </c>
      <c r="K16" s="731" t="s">
        <v>147</v>
      </c>
      <c r="L16" s="732"/>
      <c r="M16" s="732"/>
      <c r="N16" s="732"/>
      <c r="O16" s="733"/>
      <c r="P16" s="7"/>
      <c r="R16" s="1"/>
      <c r="S16" s="298"/>
      <c r="T16"/>
    </row>
    <row r="17" spans="2:20" hidden="1" x14ac:dyDescent="0.25">
      <c r="B17" s="6"/>
      <c r="C17" s="180" t="str">
        <f>'Nominal retained catches'!B14</f>
        <v>IRN</v>
      </c>
      <c r="D17" s="181" t="str">
        <f>'Nominal retained catches'!D14</f>
        <v>DG, C</v>
      </c>
      <c r="E17" s="182">
        <f>'Nominal retained catches'!E14</f>
        <v>46216</v>
      </c>
      <c r="F17" s="183">
        <f>'Nominal retained catches'!F14</f>
        <v>42598.555084228501</v>
      </c>
      <c r="G17" s="183">
        <f>AVERAGE('Nominal retained catches'!H14:J14)</f>
        <v>57599.791392008461</v>
      </c>
      <c r="H17" s="183">
        <f>MAX('Nominal retained catches'!H14:J14)</f>
        <v>58650.180541992202</v>
      </c>
      <c r="I17" s="183">
        <f>'Nominal retained catches'!I14</f>
        <v>58650.180541992202</v>
      </c>
      <c r="J17" s="454">
        <f>'Nominal retained catches'!O14</f>
        <v>42531.001098632798</v>
      </c>
      <c r="K17" s="731" t="s">
        <v>146</v>
      </c>
      <c r="L17" s="732"/>
      <c r="M17" s="732"/>
      <c r="N17" s="732"/>
      <c r="O17" s="733"/>
      <c r="P17" s="7"/>
      <c r="R17" s="1"/>
      <c r="S17" s="298"/>
      <c r="T17"/>
    </row>
    <row r="18" spans="2:20" x14ac:dyDescent="0.25">
      <c r="B18" s="6"/>
      <c r="C18" s="42" t="str">
        <f>'Nominal retained catches'!B15</f>
        <v>JPN</v>
      </c>
      <c r="D18" s="154" t="str">
        <f>'Nominal retained catches'!D15</f>
        <v>DD, DW</v>
      </c>
      <c r="E18" s="141">
        <f>'Nominal retained catches'!E15</f>
        <v>4072.4999542236301</v>
      </c>
      <c r="F18" s="93">
        <f>'Nominal retained catches'!F15</f>
        <v>3478.0998992919899</v>
      </c>
      <c r="G18" s="93">
        <f>AVERAGE('Nominal retained catches'!H15:J15)</f>
        <v>3329.6333872477239</v>
      </c>
      <c r="H18" s="93">
        <f>MAX('Nominal retained catches'!H15:J15)</f>
        <v>4002.7001037597702</v>
      </c>
      <c r="I18" s="93">
        <f>'Nominal retained catches'!I15</f>
        <v>3382.1000061035202</v>
      </c>
      <c r="J18" s="283">
        <f>'Nominal retained catches'!O15</f>
        <v>2087.2999572753902</v>
      </c>
      <c r="K18" s="191" t="s">
        <v>148</v>
      </c>
      <c r="L18" s="105">
        <f>H18</f>
        <v>4002.7001037597702</v>
      </c>
      <c r="M18" s="187" t="s">
        <v>53</v>
      </c>
      <c r="N18" s="188" t="s">
        <v>13</v>
      </c>
      <c r="O18" s="90">
        <f>H18</f>
        <v>4002.7001037597702</v>
      </c>
      <c r="P18" s="7"/>
      <c r="R18" s="1"/>
      <c r="S18" s="298"/>
      <c r="T18"/>
    </row>
    <row r="19" spans="2:20" x14ac:dyDescent="0.25">
      <c r="B19" s="6"/>
      <c r="C19" s="42" t="str">
        <f>'Nominal retained catches'!B16</f>
        <v>KEN</v>
      </c>
      <c r="D19" s="154" t="str">
        <f>'Nominal retained catches'!D16</f>
        <v>DG, C</v>
      </c>
      <c r="E19" s="141">
        <f>'Nominal retained catches'!E16</f>
        <v>71.306000709533706</v>
      </c>
      <c r="F19" s="93">
        <f>'Nominal retained catches'!F16</f>
        <v>108.406670570374</v>
      </c>
      <c r="G19" s="93">
        <f>AVERAGE('Nominal retained catches'!H16:J16)</f>
        <v>2549.9722744225796</v>
      </c>
      <c r="H19" s="93">
        <f>MAX('Nominal retained catches'!H16:J16)</f>
        <v>3654.2361297607399</v>
      </c>
      <c r="I19" s="93">
        <f>'Nominal retained catches'!I16</f>
        <v>3591.93516136573</v>
      </c>
      <c r="J19" s="283">
        <f>'Nominal retained catches'!O16</f>
        <v>3638.97052717209</v>
      </c>
      <c r="K19" s="191" t="s">
        <v>148</v>
      </c>
      <c r="L19" s="105">
        <f>H19</f>
        <v>3654.2361297607399</v>
      </c>
      <c r="M19" s="187" t="s">
        <v>53</v>
      </c>
      <c r="N19" s="188" t="s">
        <v>13</v>
      </c>
      <c r="O19" s="90">
        <f>L19</f>
        <v>3654.2361297607399</v>
      </c>
      <c r="P19" s="7"/>
      <c r="R19" s="1"/>
      <c r="S19" s="298"/>
      <c r="T19"/>
    </row>
    <row r="20" spans="2:20" s="13" customFormat="1" x14ac:dyDescent="0.25">
      <c r="B20" s="6"/>
      <c r="C20" s="42" t="str">
        <f>'Nominal retained catches'!B17</f>
        <v>KOR</v>
      </c>
      <c r="D20" s="154" t="str">
        <f>'Nominal retained catches'!D17</f>
        <v>DG, DW</v>
      </c>
      <c r="E20" s="141">
        <f>'Nominal retained catches'!E17</f>
        <v>10409.0522650451</v>
      </c>
      <c r="F20" s="93">
        <f>'Nominal retained catches'!F17</f>
        <v>9182.8629771687702</v>
      </c>
      <c r="G20" s="93">
        <f>AVERAGE('Nominal retained catches'!H17:J17)</f>
        <v>8648.0386555989589</v>
      </c>
      <c r="H20" s="93">
        <f>MAX('Nominal retained catches'!H17:J17)</f>
        <v>10790</v>
      </c>
      <c r="I20" s="93">
        <f>'Nominal retained catches'!I17</f>
        <v>6990.1159667968795</v>
      </c>
      <c r="J20" s="283">
        <f>'Nominal retained catches'!O17</f>
        <v>3529.1400146484398</v>
      </c>
      <c r="K20" s="191">
        <v>2014</v>
      </c>
      <c r="L20" s="105">
        <f>E20</f>
        <v>10409.0522650451</v>
      </c>
      <c r="M20" s="187">
        <v>0.13</v>
      </c>
      <c r="N20" s="188" t="s">
        <v>50</v>
      </c>
      <c r="O20" s="90">
        <f>L20*(1-M20)</f>
        <v>9055.875470589237</v>
      </c>
      <c r="P20" s="7"/>
      <c r="R20" s="1"/>
      <c r="S20" s="298"/>
      <c r="T20"/>
    </row>
    <row r="21" spans="2:20" s="13" customFormat="1" ht="14.25" customHeight="1" x14ac:dyDescent="0.25">
      <c r="B21" s="6"/>
      <c r="C21" s="42" t="str">
        <f>'Nominal retained catches'!B18</f>
        <v>LKA</v>
      </c>
      <c r="D21" s="154" t="str">
        <f>'Nominal retained catches'!D18</f>
        <v>DG, C</v>
      </c>
      <c r="E21" s="141">
        <f>'Nominal retained catches'!E18</f>
        <v>37778.196241332902</v>
      </c>
      <c r="F21" s="93">
        <f>'Nominal retained catches'!F18</f>
        <v>32672.899676503501</v>
      </c>
      <c r="G21" s="93">
        <f>AVERAGE('Nominal retained catches'!H18:J18)</f>
        <v>40851.880802381267</v>
      </c>
      <c r="H21" s="93">
        <f>MAX('Nominal retained catches'!H18:J18)</f>
        <v>44761.468518272901</v>
      </c>
      <c r="I21" s="93">
        <f>'Nominal retained catches'!I18</f>
        <v>39816.900805473299</v>
      </c>
      <c r="J21" s="283">
        <f>'Nominal retained catches'!O18</f>
        <v>33303.399884223902</v>
      </c>
      <c r="K21" s="191">
        <v>2014</v>
      </c>
      <c r="L21" s="105">
        <f>E21</f>
        <v>37778.196241332902</v>
      </c>
      <c r="M21" s="187">
        <v>0.12</v>
      </c>
      <c r="N21" s="188" t="s">
        <v>150</v>
      </c>
      <c r="O21" s="90">
        <f>L21*(1-M21)</f>
        <v>33244.812692372951</v>
      </c>
      <c r="P21" s="7"/>
      <c r="R21" s="1"/>
      <c r="S21" s="298"/>
      <c r="T21"/>
    </row>
    <row r="22" spans="2:20" s="13" customFormat="1" hidden="1" x14ac:dyDescent="0.25">
      <c r="B22" s="6"/>
      <c r="C22" s="180" t="str">
        <f>'Nominal retained catches'!B19</f>
        <v>MDG</v>
      </c>
      <c r="D22" s="181" t="str">
        <f>'Nominal retained catches'!D19</f>
        <v>LD, C</v>
      </c>
      <c r="E22" s="184">
        <f>'Nominal retained catches'!E19</f>
        <v>734.66519927978504</v>
      </c>
      <c r="F22" s="183">
        <f>'Nominal retained catches'!F19</f>
        <v>747.38420104980503</v>
      </c>
      <c r="G22" s="183">
        <f>AVERAGE('Nominal retained catches'!H19:J19)</f>
        <v>709.71042518008505</v>
      </c>
      <c r="H22" s="183">
        <f>MAX('Nominal retained catches'!H19:J19)</f>
        <v>721.89740270770699</v>
      </c>
      <c r="I22" s="183">
        <f>'Nominal retained catches'!I19</f>
        <v>704.28267425466697</v>
      </c>
      <c r="J22" s="454">
        <f>'Nominal retained catches'!O19</f>
        <v>347.69699859619101</v>
      </c>
      <c r="K22" s="731" t="s">
        <v>146</v>
      </c>
      <c r="L22" s="732"/>
      <c r="M22" s="732"/>
      <c r="N22" s="732"/>
      <c r="O22" s="733"/>
      <c r="P22" s="7"/>
      <c r="R22" s="1"/>
      <c r="S22" s="298"/>
      <c r="T22"/>
    </row>
    <row r="23" spans="2:20" s="13" customFormat="1" x14ac:dyDescent="0.25">
      <c r="B23" s="6"/>
      <c r="C23" s="42" t="str">
        <f>'Nominal retained catches'!B20</f>
        <v>MDV</v>
      </c>
      <c r="D23" s="154" t="str">
        <f>'Nominal retained catches'!D20</f>
        <v>DG, S, C</v>
      </c>
      <c r="E23" s="148">
        <f>'Nominal retained catches'!E20</f>
        <v>49211.939023090999</v>
      </c>
      <c r="F23" s="93">
        <f>'Nominal retained catches'!F20</f>
        <v>52438.667800903298</v>
      </c>
      <c r="G23" s="93">
        <f>AVERAGE('Nominal retained catches'!H20:J20)</f>
        <v>47093.324011623838</v>
      </c>
      <c r="H23" s="93">
        <f>MAX('Nominal retained catches'!H20:J20)</f>
        <v>49360.685164868803</v>
      </c>
      <c r="I23" s="93">
        <f>'Nominal retained catches'!I20</f>
        <v>47217.148636817903</v>
      </c>
      <c r="J23" s="283">
        <f>'Nominal retained catches'!O20</f>
        <v>26477.3200683594</v>
      </c>
      <c r="K23" s="191">
        <v>2015</v>
      </c>
      <c r="L23" s="105">
        <f>F23</f>
        <v>52438.667800903298</v>
      </c>
      <c r="M23" s="187">
        <v>0.1</v>
      </c>
      <c r="N23" s="188" t="s">
        <v>49</v>
      </c>
      <c r="O23" s="90">
        <f>L23*(1-M23)</f>
        <v>47194.801020812971</v>
      </c>
      <c r="P23" s="7"/>
      <c r="R23" s="1"/>
      <c r="S23" s="298"/>
      <c r="T23"/>
    </row>
    <row r="24" spans="2:20" s="13" customFormat="1" x14ac:dyDescent="0.25">
      <c r="B24" s="6"/>
      <c r="C24" s="42" t="str">
        <f>'Nominal retained catches'!B21</f>
        <v>MOZ</v>
      </c>
      <c r="D24" s="154" t="str">
        <f>'Nominal retained catches'!D21</f>
        <v>LD, C</v>
      </c>
      <c r="E24" s="141">
        <f>'Nominal retained catches'!E21</f>
        <v>5.3890000581741297</v>
      </c>
      <c r="F24" s="93">
        <f>'Nominal retained catches'!F21</f>
        <v>69.190001487731905</v>
      </c>
      <c r="G24" s="93">
        <f>AVERAGE('Nominal retained catches'!H21:J21)</f>
        <v>197.48499725262332</v>
      </c>
      <c r="H24" s="93">
        <f>MAX('Nominal retained catches'!H21:J21)</f>
        <v>268.81099623441702</v>
      </c>
      <c r="I24" s="93">
        <f>'Nominal retained catches'!I21</f>
        <v>155.37599778175399</v>
      </c>
      <c r="J24" s="283">
        <f>'Nominal retained catches'!O21</f>
        <v>685</v>
      </c>
      <c r="K24" s="191">
        <v>2014</v>
      </c>
      <c r="L24" s="105">
        <f>F24</f>
        <v>69.190001487731905</v>
      </c>
      <c r="M24" s="187" t="s">
        <v>53</v>
      </c>
      <c r="N24" s="188" t="s">
        <v>18</v>
      </c>
      <c r="O24" s="90">
        <v>2000</v>
      </c>
      <c r="P24" s="7"/>
      <c r="R24" s="1"/>
      <c r="S24" s="298"/>
      <c r="T24"/>
    </row>
    <row r="25" spans="2:20" s="13" customFormat="1" x14ac:dyDescent="0.25">
      <c r="B25" s="6"/>
      <c r="C25" s="42" t="str">
        <f>'Nominal retained catches'!B22</f>
        <v>MUS</v>
      </c>
      <c r="D25" s="154" t="str">
        <f>'Nominal retained catches'!D22</f>
        <v>DG, S, C</v>
      </c>
      <c r="E25" s="141">
        <f>'Nominal retained catches'!E22</f>
        <v>4908.3624216649296</v>
      </c>
      <c r="F25" s="93">
        <f>'Nominal retained catches'!F22</f>
        <v>5530.3786511464796</v>
      </c>
      <c r="G25" s="93">
        <f>AVERAGE('Nominal retained catches'!H22:J22)</f>
        <v>10785.510509341097</v>
      </c>
      <c r="H25" s="93">
        <f>MAX('Nominal retained catches'!H22:J22)</f>
        <v>12684.006774572799</v>
      </c>
      <c r="I25" s="93">
        <f>'Nominal retained catches'!I22</f>
        <v>11656.0078543416</v>
      </c>
      <c r="J25" s="283">
        <f>'Nominal retained catches'!O22</f>
        <v>9823.0100404620207</v>
      </c>
      <c r="K25" s="191">
        <v>2018</v>
      </c>
      <c r="L25" s="105">
        <f>I25</f>
        <v>11656.0078543416</v>
      </c>
      <c r="M25" s="187">
        <v>0.1</v>
      </c>
      <c r="N25" s="188" t="s">
        <v>52</v>
      </c>
      <c r="O25" s="90">
        <f>L25*(1-M25)</f>
        <v>10490.40706890744</v>
      </c>
      <c r="P25" s="7"/>
      <c r="R25" s="1"/>
      <c r="S25" s="298"/>
      <c r="T25"/>
    </row>
    <row r="26" spans="2:20" s="13" customFormat="1" x14ac:dyDescent="0.25">
      <c r="B26" s="6"/>
      <c r="C26" s="42" t="str">
        <f>'Nominal retained catches'!B23</f>
        <v>MYS</v>
      </c>
      <c r="D26" s="154" t="str">
        <f>'Nominal retained catches'!D23</f>
        <v>DG, C</v>
      </c>
      <c r="E26" s="141">
        <f>'Nominal retained catches'!E23</f>
        <v>77.319999694824205</v>
      </c>
      <c r="F26" s="93">
        <f>'Nominal retained catches'!F23</f>
        <v>144.49299621582</v>
      </c>
      <c r="G26" s="93">
        <f>AVERAGE('Nominal retained catches'!H23:J23)</f>
        <v>419.23066965738934</v>
      </c>
      <c r="H26" s="93">
        <f>MAX('Nominal retained catches'!H23:J23)</f>
        <v>446.28599548339798</v>
      </c>
      <c r="I26" s="93">
        <f>'Nominal retained catches'!I23</f>
        <v>446.28599548339798</v>
      </c>
      <c r="J26" s="283">
        <f>'Nominal retained catches'!O23</f>
        <v>662.04998779296898</v>
      </c>
      <c r="K26" s="191">
        <v>2014</v>
      </c>
      <c r="L26" s="105">
        <f>F26</f>
        <v>144.49299621582</v>
      </c>
      <c r="M26" s="187" t="s">
        <v>53</v>
      </c>
      <c r="N26" s="188" t="s">
        <v>18</v>
      </c>
      <c r="O26" s="90">
        <v>2000</v>
      </c>
      <c r="P26" s="7"/>
      <c r="R26" s="1"/>
      <c r="S26" s="298"/>
      <c r="T26"/>
    </row>
    <row r="27" spans="2:20" s="13" customFormat="1" hidden="1" x14ac:dyDescent="0.25">
      <c r="B27" s="6"/>
      <c r="C27" s="180" t="str">
        <f>'Nominal retained catches'!B24</f>
        <v>OMN</v>
      </c>
      <c r="D27" s="181" t="str">
        <f>'Nominal retained catches'!D24</f>
        <v>DG, C</v>
      </c>
      <c r="E27" s="182">
        <f>'Nominal retained catches'!E24</f>
        <v>7207.6950969695999</v>
      </c>
      <c r="F27" s="183">
        <f>'Nominal retained catches'!F24</f>
        <v>15182.600152589401</v>
      </c>
      <c r="G27" s="183">
        <f>AVERAGE('Nominal retained catches'!H24:J24)</f>
        <v>28456.184593792201</v>
      </c>
      <c r="H27" s="183">
        <f>MAX('Nominal retained catches'!H24:J24)</f>
        <v>37032.626380920403</v>
      </c>
      <c r="I27" s="183">
        <f>'Nominal retained catches'!I24</f>
        <v>28837.400194883299</v>
      </c>
      <c r="J27" s="454">
        <f>'Nominal retained catches'!O24</f>
        <v>88942.367503166199</v>
      </c>
      <c r="K27" s="731" t="s">
        <v>146</v>
      </c>
      <c r="L27" s="732"/>
      <c r="M27" s="732"/>
      <c r="N27" s="732"/>
      <c r="O27" s="733"/>
      <c r="P27" s="7"/>
      <c r="R27" s="1"/>
      <c r="S27" s="298"/>
      <c r="T27"/>
    </row>
    <row r="28" spans="2:20" s="13" customFormat="1" x14ac:dyDescent="0.25">
      <c r="B28" s="6"/>
      <c r="C28" s="42" t="str">
        <f>'Nominal retained catches'!B25</f>
        <v>PAK</v>
      </c>
      <c r="D28" s="154" t="str">
        <f>'Nominal retained catches'!D25</f>
        <v>DG, C</v>
      </c>
      <c r="E28" s="141">
        <f>'Nominal retained catches'!E25</f>
        <v>16441.111871177101</v>
      </c>
      <c r="F28" s="93">
        <f>'Nominal retained catches'!F25</f>
        <v>18816.629061371801</v>
      </c>
      <c r="G28" s="93">
        <f>AVERAGE('Nominal retained catches'!H25:J25)</f>
        <v>18508.792809452323</v>
      </c>
      <c r="H28" s="93">
        <f>MAX('Nominal retained catches'!H25:J25)</f>
        <v>27784.023151273399</v>
      </c>
      <c r="I28" s="93">
        <f>'Nominal retained catches'!I25</f>
        <v>18383.8880426504</v>
      </c>
      <c r="J28" s="283">
        <f>'Nominal retained catches'!O25</f>
        <v>8647.7295053180806</v>
      </c>
      <c r="K28" s="191">
        <v>2014</v>
      </c>
      <c r="L28" s="105">
        <f>E28</f>
        <v>16441.111871177101</v>
      </c>
      <c r="M28" s="187">
        <v>0.12</v>
      </c>
      <c r="N28" s="188" t="s">
        <v>150</v>
      </c>
      <c r="O28" s="90">
        <f>L28*(1-M28)</f>
        <v>14468.178446635849</v>
      </c>
      <c r="P28" s="7"/>
      <c r="R28" s="1"/>
      <c r="S28" s="298"/>
      <c r="T28"/>
    </row>
    <row r="29" spans="2:20" s="13" customFormat="1" x14ac:dyDescent="0.25">
      <c r="B29" s="6"/>
      <c r="C29" s="42" t="str">
        <f>'Nominal retained catches'!B26</f>
        <v>PHL</v>
      </c>
      <c r="D29" s="154" t="str">
        <f>'Nominal retained catches'!D26</f>
        <v>DG, DW</v>
      </c>
      <c r="E29" s="141">
        <f>'Nominal retained catches'!E26</f>
        <v>69.221998929977403</v>
      </c>
      <c r="F29" s="93">
        <f>'Nominal retained catches'!F26</f>
        <v>0</v>
      </c>
      <c r="G29" s="93">
        <f>AVERAGE('Nominal retained catches'!H26:J26)</f>
        <v>24.226668039957669</v>
      </c>
      <c r="H29" s="93">
        <f>MAX('Nominal retained catches'!H26:J26)</f>
        <v>72.680004119873004</v>
      </c>
      <c r="I29" s="93">
        <f>'Nominal retained catches'!I26</f>
        <v>0</v>
      </c>
      <c r="J29" s="283">
        <f>'Nominal retained catches'!O26</f>
        <v>0</v>
      </c>
      <c r="K29" s="191">
        <v>2014</v>
      </c>
      <c r="L29" s="105">
        <f>E29</f>
        <v>69.221998929977403</v>
      </c>
      <c r="M29" s="187" t="s">
        <v>53</v>
      </c>
      <c r="N29" s="188" t="s">
        <v>71</v>
      </c>
      <c r="O29" s="90">
        <v>700</v>
      </c>
      <c r="P29" s="7"/>
      <c r="R29" s="1"/>
      <c r="S29" s="298"/>
      <c r="T29"/>
    </row>
    <row r="30" spans="2:20" s="13" customFormat="1" ht="14.25" customHeight="1" x14ac:dyDescent="0.25">
      <c r="B30" s="6"/>
      <c r="C30" s="42" t="str">
        <f>'Nominal retained catches'!B27</f>
        <v>SDN</v>
      </c>
      <c r="D30" s="154" t="str">
        <f>'Nominal retained catches'!D27</f>
        <v>LD, C</v>
      </c>
      <c r="E30" s="141">
        <f>'Nominal retained catches'!E27</f>
        <v>0</v>
      </c>
      <c r="F30" s="93">
        <f>'Nominal retained catches'!F27</f>
        <v>0</v>
      </c>
      <c r="G30" s="93">
        <f>AVERAGE('Nominal retained catches'!H27:J27)</f>
        <v>0</v>
      </c>
      <c r="H30" s="93">
        <f>MAX('Nominal retained catches'!H27:J27)</f>
        <v>0</v>
      </c>
      <c r="I30" s="93">
        <f>'Nominal retained catches'!I27</f>
        <v>0</v>
      </c>
      <c r="J30" s="283">
        <f>'Nominal retained catches'!O27</f>
        <v>0</v>
      </c>
      <c r="K30" s="191">
        <v>2014</v>
      </c>
      <c r="L30" s="105">
        <f>F29</f>
        <v>0</v>
      </c>
      <c r="M30" s="187" t="s">
        <v>53</v>
      </c>
      <c r="N30" s="188" t="s">
        <v>18</v>
      </c>
      <c r="O30" s="90">
        <v>2000</v>
      </c>
      <c r="P30" s="7"/>
      <c r="R30" s="1"/>
      <c r="S30" s="298"/>
      <c r="T30"/>
    </row>
    <row r="31" spans="2:20" s="13" customFormat="1" hidden="1" x14ac:dyDescent="0.25">
      <c r="B31" s="6"/>
      <c r="C31" s="180" t="str">
        <f>'Nominal retained catches'!B28</f>
        <v>SOM</v>
      </c>
      <c r="D31" s="181" t="str">
        <f>'Nominal retained catches'!D28</f>
        <v>LD, C</v>
      </c>
      <c r="E31" s="184">
        <f>'Nominal retained catches'!E28</f>
        <v>0</v>
      </c>
      <c r="F31" s="183">
        <f>'Nominal retained catches'!F28</f>
        <v>0</v>
      </c>
      <c r="G31" s="183">
        <f>AVERAGE('Nominal retained catches'!H28:J28)</f>
        <v>0</v>
      </c>
      <c r="H31" s="183">
        <f>MAX('Nominal retained catches'!H28:J28)</f>
        <v>0</v>
      </c>
      <c r="I31" s="183">
        <f>'Nominal retained catches'!I28</f>
        <v>0</v>
      </c>
      <c r="J31" s="454">
        <f>'Nominal retained catches'!O28</f>
        <v>10965</v>
      </c>
      <c r="K31" s="731" t="s">
        <v>146</v>
      </c>
      <c r="L31" s="732"/>
      <c r="M31" s="732"/>
      <c r="N31" s="732"/>
      <c r="O31" s="733"/>
      <c r="P31" s="7"/>
      <c r="R31" s="1"/>
      <c r="S31" s="298"/>
      <c r="T31"/>
    </row>
    <row r="32" spans="2:20" s="13" customFormat="1" x14ac:dyDescent="0.25">
      <c r="B32" s="6"/>
      <c r="C32" s="42" t="str">
        <f>'Nominal retained catches'!B29</f>
        <v>SYC</v>
      </c>
      <c r="D32" s="154" t="str">
        <f>'Nominal retained catches'!D29</f>
        <v>DG, S, C</v>
      </c>
      <c r="E32" s="148">
        <f>'Nominal retained catches'!E29</f>
        <v>25079.3302427823</v>
      </c>
      <c r="F32" s="93">
        <f>'Nominal retained catches'!F29</f>
        <v>41467.966638020298</v>
      </c>
      <c r="G32" s="93">
        <f>AVERAGE('Nominal retained catches'!H29:J29)</f>
        <v>43974.349144627071</v>
      </c>
      <c r="H32" s="93">
        <f>MAX('Nominal retained catches'!H29:J29)</f>
        <v>46099.220137338903</v>
      </c>
      <c r="I32" s="93">
        <f>'Nominal retained catches'!I29</f>
        <v>42068.804440678003</v>
      </c>
      <c r="J32" s="283">
        <f>'Nominal retained catches'!O29</f>
        <v>37194.319411516197</v>
      </c>
      <c r="K32" s="192" t="s">
        <v>56</v>
      </c>
      <c r="L32" s="105">
        <f>G32</f>
        <v>43974.349144627071</v>
      </c>
      <c r="M32" s="187">
        <v>0.1</v>
      </c>
      <c r="N32" s="188" t="s">
        <v>49</v>
      </c>
      <c r="O32" s="90">
        <f>L32*(1-M32)</f>
        <v>39576.914230164366</v>
      </c>
      <c r="P32" s="7"/>
      <c r="R32" s="1"/>
      <c r="S32" s="298"/>
      <c r="T32"/>
    </row>
    <row r="33" spans="2:20" s="13" customFormat="1" x14ac:dyDescent="0.25">
      <c r="B33" s="6"/>
      <c r="C33" s="42" t="str">
        <f>'Nominal retained catches'!B30</f>
        <v>THA</v>
      </c>
      <c r="D33" s="154" t="str">
        <f>'Nominal retained catches'!D30</f>
        <v>DG, C</v>
      </c>
      <c r="E33" s="148">
        <f>'Nominal retained catches'!E30</f>
        <v>186.80599975585901</v>
      </c>
      <c r="F33" s="93">
        <f>'Nominal retained catches'!F30</f>
        <v>109.450999736786</v>
      </c>
      <c r="G33" s="93">
        <f>AVERAGE('Nominal retained catches'!H30:J30)</f>
        <v>0</v>
      </c>
      <c r="H33" s="93">
        <f>MAX('Nominal retained catches'!H30:J30)</f>
        <v>0</v>
      </c>
      <c r="I33" s="93">
        <f>'Nominal retained catches'!I30</f>
        <v>0</v>
      </c>
      <c r="J33" s="283">
        <f>'Nominal retained catches'!O30</f>
        <v>15</v>
      </c>
      <c r="K33" s="191">
        <v>2014</v>
      </c>
      <c r="L33" s="105">
        <f>E33</f>
        <v>186.80599975585901</v>
      </c>
      <c r="M33" s="187" t="s">
        <v>53</v>
      </c>
      <c r="N33" s="188" t="s">
        <v>18</v>
      </c>
      <c r="O33" s="90">
        <v>2000</v>
      </c>
      <c r="P33" s="7"/>
      <c r="R33" s="1"/>
      <c r="S33" s="298"/>
      <c r="T33"/>
    </row>
    <row r="34" spans="2:20" s="13" customFormat="1" x14ac:dyDescent="0.25">
      <c r="B34" s="6"/>
      <c r="C34" s="42" t="str">
        <f>'Nominal retained catches'!B31</f>
        <v>TWN</v>
      </c>
      <c r="D34" s="154" t="str">
        <f>'Nominal retained catches'!D31</f>
        <v>DG, DW</v>
      </c>
      <c r="E34" s="148">
        <f>'Nominal retained catches'!E31</f>
        <v>12285.2820663452</v>
      </c>
      <c r="F34" s="93">
        <f>'Nominal retained catches'!F31</f>
        <v>13921.4324798584</v>
      </c>
      <c r="G34" s="93">
        <f>AVERAGE('Nominal retained catches'!H31:J31)</f>
        <v>9795.7346636454295</v>
      </c>
      <c r="H34" s="93">
        <f>MAX('Nominal retained catches'!H31:J31)</f>
        <v>10844.772888183599</v>
      </c>
      <c r="I34" s="93">
        <f>'Nominal retained catches'!I31</f>
        <v>10844.772888183599</v>
      </c>
      <c r="J34" s="283">
        <f>'Nominal retained catches'!O31</f>
        <v>9446.5700721740704</v>
      </c>
      <c r="K34" s="191">
        <v>2014</v>
      </c>
      <c r="L34" s="105">
        <f>E34</f>
        <v>12285.2820663452</v>
      </c>
      <c r="M34" s="187">
        <v>0.13</v>
      </c>
      <c r="N34" s="188" t="s">
        <v>272</v>
      </c>
      <c r="O34" s="90">
        <f>L34*(1-M34)</f>
        <v>10688.195397720325</v>
      </c>
      <c r="P34" s="7"/>
      <c r="R34" s="1"/>
      <c r="S34" s="298"/>
      <c r="T34"/>
    </row>
    <row r="35" spans="2:20" s="13" customFormat="1" x14ac:dyDescent="0.25">
      <c r="B35" s="6"/>
      <c r="C35" s="42" t="str">
        <f>'Nominal retained catches'!B32</f>
        <v>TZA</v>
      </c>
      <c r="D35" s="154" t="str">
        <f>'Nominal retained catches'!D32</f>
        <v>LD, C</v>
      </c>
      <c r="E35" s="148">
        <f>'Nominal retained catches'!E32</f>
        <v>3441.4995101690301</v>
      </c>
      <c r="F35" s="93">
        <f>'Nominal retained catches'!F32</f>
        <v>4011.33079528809</v>
      </c>
      <c r="G35" s="93">
        <f>AVERAGE('Nominal retained catches'!H32:J32)</f>
        <v>3903.9341253439597</v>
      </c>
      <c r="H35" s="93">
        <f>MAX('Nominal retained catches'!H32:J32)</f>
        <v>3904.6287920475002</v>
      </c>
      <c r="I35" s="93">
        <f>'Nominal retained catches'!I32</f>
        <v>3903.5867919921898</v>
      </c>
      <c r="J35" s="283">
        <f>'Nominal retained catches'!O32</f>
        <v>3969.48000335693</v>
      </c>
      <c r="K35" s="191" t="s">
        <v>148</v>
      </c>
      <c r="L35" s="105">
        <f>H35</f>
        <v>3904.6287920475002</v>
      </c>
      <c r="M35" s="187" t="s">
        <v>53</v>
      </c>
      <c r="N35" s="188" t="s">
        <v>13</v>
      </c>
      <c r="O35" s="90">
        <f>H35</f>
        <v>3904.6287920475002</v>
      </c>
      <c r="P35" s="7"/>
      <c r="R35" s="1"/>
      <c r="S35" s="298"/>
      <c r="T35"/>
    </row>
    <row r="36" spans="2:20" s="13" customFormat="1" x14ac:dyDescent="0.25">
      <c r="B36" s="6"/>
      <c r="C36" s="42" t="str">
        <f>'Nominal retained catches'!B33</f>
        <v>YEM</v>
      </c>
      <c r="D36" s="154" t="str">
        <f>'Nominal retained catches'!D33</f>
        <v>LD, C</v>
      </c>
      <c r="E36" s="148">
        <f>'Nominal retained catches'!E33</f>
        <v>29180.400390625</v>
      </c>
      <c r="F36" s="93">
        <f>'Nominal retained catches'!F33</f>
        <v>24517.5390625</v>
      </c>
      <c r="G36" s="93">
        <f>AVERAGE('Nominal retained catches'!H33:J33)</f>
        <v>18350.747136432401</v>
      </c>
      <c r="H36" s="93">
        <f>MAX('Nominal retained catches'!H33:J33)</f>
        <v>18683.611405392701</v>
      </c>
      <c r="I36" s="93">
        <f>'Nominal retained catches'!I33</f>
        <v>18307.739378904502</v>
      </c>
      <c r="J36" s="283">
        <f>'Nominal retained catches'!O33</f>
        <v>39470.508900357898</v>
      </c>
      <c r="K36" s="191">
        <v>2014</v>
      </c>
      <c r="L36" s="105">
        <f>E36</f>
        <v>29180.400390625</v>
      </c>
      <c r="M36" s="187">
        <v>0.1</v>
      </c>
      <c r="N36" s="188" t="s">
        <v>49</v>
      </c>
      <c r="O36" s="90">
        <f>L36*(1-M36)</f>
        <v>26262.3603515625</v>
      </c>
      <c r="P36" s="7"/>
      <c r="R36" s="1"/>
      <c r="S36" s="298"/>
      <c r="T36"/>
    </row>
    <row r="37" spans="2:20" s="13" customFormat="1" ht="15.75" thickBot="1" x14ac:dyDescent="0.3">
      <c r="B37" s="6"/>
      <c r="C37" s="173" t="str">
        <f>'Nominal retained catches'!B34</f>
        <v>ZAF</v>
      </c>
      <c r="D37" s="174" t="str">
        <f>'Nominal retained catches'!D34</f>
        <v>DG, C</v>
      </c>
      <c r="E37" s="106">
        <f>'Nominal retained catches'!E34</f>
        <v>83.048222124576597</v>
      </c>
      <c r="F37" s="95">
        <f>'Nominal retained catches'!F34</f>
        <v>181.88536071777301</v>
      </c>
      <c r="G37" s="95">
        <f>AVERAGE('Nominal retained catches'!H34:J34)</f>
        <v>322.632568359375</v>
      </c>
      <c r="H37" s="95">
        <f>MAX('Nominal retained catches'!H34:J34)</f>
        <v>388.98175048828102</v>
      </c>
      <c r="I37" s="95">
        <f>'Nominal retained catches'!I34</f>
        <v>331.44030761718801</v>
      </c>
      <c r="J37" s="283">
        <f>'Nominal retained catches'!O34</f>
        <v>442.29998779296898</v>
      </c>
      <c r="K37" s="194">
        <v>2014</v>
      </c>
      <c r="L37" s="107">
        <f>F37</f>
        <v>181.88536071777301</v>
      </c>
      <c r="M37" s="189" t="s">
        <v>53</v>
      </c>
      <c r="N37" s="190" t="s">
        <v>18</v>
      </c>
      <c r="O37" s="91">
        <v>2000</v>
      </c>
      <c r="P37" s="7"/>
      <c r="R37" s="1"/>
      <c r="S37" s="298"/>
      <c r="T37"/>
    </row>
    <row r="38" spans="2:20" s="13" customFormat="1" ht="15.75" thickBot="1" x14ac:dyDescent="0.3">
      <c r="B38" s="8"/>
      <c r="C38" s="9"/>
      <c r="D38" s="9"/>
      <c r="E38" s="9"/>
      <c r="F38" s="9"/>
      <c r="G38" s="9"/>
      <c r="H38" s="9"/>
      <c r="I38" s="9"/>
      <c r="J38" s="284"/>
      <c r="K38" s="9"/>
      <c r="L38" s="9"/>
      <c r="M38" s="9"/>
      <c r="N38" s="9"/>
      <c r="O38" s="9"/>
      <c r="P38" s="10"/>
      <c r="R38" s="1"/>
      <c r="S38" s="298"/>
      <c r="T38"/>
    </row>
    <row r="39" spans="2:20" s="13" customFormat="1" ht="7.5" customHeight="1" x14ac:dyDescent="0.25">
      <c r="R39" s="1"/>
      <c r="S39" s="298"/>
      <c r="T39"/>
    </row>
    <row r="40" spans="2:20" s="13" customFormat="1" ht="22.5" customHeight="1" x14ac:dyDescent="0.25">
      <c r="C40" s="39" t="s">
        <v>62</v>
      </c>
      <c r="D40" s="14" t="s">
        <v>63</v>
      </c>
      <c r="R40" s="1"/>
      <c r="S40" s="298"/>
      <c r="T40"/>
    </row>
    <row r="41" spans="2:20" s="13" customFormat="1" x14ac:dyDescent="0.25">
      <c r="R41" s="1"/>
      <c r="S41" s="298"/>
      <c r="T41"/>
    </row>
    <row r="42" spans="2:20" s="13" customFormat="1" x14ac:dyDescent="0.25">
      <c r="R42" s="1"/>
      <c r="S42" s="298"/>
      <c r="T42"/>
    </row>
    <row r="43" spans="2:20" s="13" customFormat="1" x14ac:dyDescent="0.25">
      <c r="R43" s="1"/>
      <c r="S43" s="298"/>
      <c r="T43"/>
    </row>
    <row r="44" spans="2:20" s="13" customFormat="1" x14ac:dyDescent="0.25">
      <c r="R44" s="1"/>
      <c r="S44" s="298"/>
      <c r="T44"/>
    </row>
    <row r="45" spans="2:20" s="13" customFormat="1" x14ac:dyDescent="0.25">
      <c r="R45" s="1"/>
      <c r="S45" s="298"/>
      <c r="T45"/>
    </row>
    <row r="46" spans="2:20" s="13" customFormat="1" x14ac:dyDescent="0.25">
      <c r="R46"/>
      <c r="S46"/>
      <c r="T46"/>
    </row>
    <row r="47" spans="2:20" s="13" customFormat="1" x14ac:dyDescent="0.25"/>
    <row r="48" spans="2:20" s="13" customFormat="1" x14ac:dyDescent="0.25"/>
  </sheetData>
  <mergeCells count="22">
    <mergeCell ref="K16:O16"/>
    <mergeCell ref="K17:O17"/>
    <mergeCell ref="K22:O22"/>
    <mergeCell ref="K31:O31"/>
    <mergeCell ref="K27:O27"/>
    <mergeCell ref="B2:P2"/>
    <mergeCell ref="C5:D5"/>
    <mergeCell ref="E5:J5"/>
    <mergeCell ref="K5:L5"/>
    <mergeCell ref="M5:O5"/>
    <mergeCell ref="C6:C7"/>
    <mergeCell ref="D6:D7"/>
    <mergeCell ref="N6:N7"/>
    <mergeCell ref="M6:M7"/>
    <mergeCell ref="L6:L7"/>
    <mergeCell ref="K6:K7"/>
    <mergeCell ref="E6:E7"/>
    <mergeCell ref="J6:J7"/>
    <mergeCell ref="I6:I7"/>
    <mergeCell ref="H6:H7"/>
    <mergeCell ref="G6:G7"/>
    <mergeCell ref="F6:F7"/>
  </mergeCells>
  <conditionalFormatting sqref="L8:L15 E8:J37 L18:L21 L23:L26 L28:L30 L32:L37">
    <cfRule type="expression" dxfId="30" priority="14" stopIfTrue="1">
      <formula>E8&lt;2000</formula>
    </cfRule>
    <cfRule type="expression" dxfId="29" priority="15" stopIfTrue="1">
      <formula>E8&lt;5000</formula>
    </cfRule>
    <cfRule type="expression" dxfId="28" priority="16" stopIfTrue="1">
      <formula>E8&gt;=5000</formula>
    </cfRule>
  </conditionalFormatting>
  <pageMargins left="0.7" right="0.7" top="0.75" bottom="0.75" header="0.3" footer="0.3"/>
  <pageSetup paperSize="9" orientation="portrait" horizontalDpi="300" verticalDpi="300" r:id="rId1"/>
  <ignoredErrors>
    <ignoredError sqref="L13 L35 L25" formula="1"/>
    <ignoredError sqref="G8:G11 H8:H10 H12:H32 G12:G14 G16:G32 H35:H37 G35:G3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26943-41AE-44B7-924E-4CD160E5E33F}">
  <dimension ref="A1:Z55"/>
  <sheetViews>
    <sheetView showGridLines="0" topLeftCell="A3" zoomScale="85" zoomScaleNormal="85" workbookViewId="0">
      <selection activeCell="P41" sqref="P41"/>
    </sheetView>
  </sheetViews>
  <sheetFormatPr defaultColWidth="11.42578125" defaultRowHeight="15" x14ac:dyDescent="0.25"/>
  <cols>
    <col min="1" max="1" width="2.85546875" style="13" customWidth="1"/>
    <col min="2" max="2" width="2.85546875" customWidth="1"/>
    <col min="3" max="3" width="10.5703125" bestFit="1" customWidth="1"/>
    <col min="4" max="4" width="10.5703125" customWidth="1"/>
    <col min="5" max="8" width="11.42578125" customWidth="1"/>
    <col min="9" max="9" width="15" customWidth="1"/>
    <col min="10" max="10" width="12.28515625" customWidth="1"/>
    <col min="11" max="11" width="12.7109375" customWidth="1"/>
    <col min="12" max="12" width="19.140625" customWidth="1"/>
    <col min="13" max="13" width="13.140625" customWidth="1"/>
    <col min="14" max="14" width="11.7109375" customWidth="1"/>
    <col min="15" max="15" width="15.5703125" customWidth="1"/>
    <col min="16" max="16" width="12.42578125" customWidth="1"/>
    <col min="17" max="17" width="13.28515625" style="13" customWidth="1"/>
    <col min="18" max="18" width="14.85546875" style="13" customWidth="1"/>
    <col min="19" max="19" width="11.42578125" style="13" customWidth="1"/>
    <col min="20" max="20" width="13.5703125" style="13" customWidth="1"/>
    <col min="21" max="21" width="14.28515625" style="13" bestFit="1" customWidth="1"/>
    <col min="22" max="22" width="3" style="13" customWidth="1"/>
    <col min="23" max="26" width="11.42578125" style="13"/>
  </cols>
  <sheetData>
    <row r="1" spans="1:26" ht="15" customHeight="1" thickBot="1" x14ac:dyDescent="0.3">
      <c r="A1"/>
      <c r="Q1" s="31"/>
      <c r="R1" s="31"/>
      <c r="S1" s="31"/>
      <c r="T1" s="31"/>
      <c r="U1" s="31"/>
      <c r="V1"/>
      <c r="W1"/>
      <c r="X1"/>
      <c r="Y1"/>
      <c r="Z1"/>
    </row>
    <row r="2" spans="1:26" ht="76.5" customHeight="1" thickBot="1" x14ac:dyDescent="0.3">
      <c r="A2"/>
      <c r="B2" s="596" t="s">
        <v>263</v>
      </c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/>
      <c r="S2" s="705"/>
      <c r="T2" s="244"/>
      <c r="U2" s="492"/>
      <c r="V2"/>
      <c r="W2"/>
      <c r="X2"/>
      <c r="Y2"/>
      <c r="Z2"/>
    </row>
    <row r="3" spans="1:26" s="13" customFormat="1" ht="15" customHeight="1" thickBot="1" x14ac:dyDescent="0.3">
      <c r="P3" s="9"/>
      <c r="Q3" s="9"/>
      <c r="R3" s="9"/>
      <c r="S3" s="9"/>
      <c r="T3" s="9"/>
      <c r="U3" s="9"/>
      <c r="V3" s="9"/>
    </row>
    <row r="4" spans="1:26" ht="15" customHeight="1" thickBot="1" x14ac:dyDescent="0.3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84"/>
      <c r="P4" s="9"/>
      <c r="Q4" s="9"/>
      <c r="R4" s="9"/>
      <c r="S4" s="284"/>
      <c r="T4" s="9"/>
      <c r="U4" s="9"/>
      <c r="V4" s="7"/>
    </row>
    <row r="5" spans="1:26" ht="15" customHeight="1" x14ac:dyDescent="0.25">
      <c r="B5" s="6"/>
      <c r="C5" s="712" t="s">
        <v>273</v>
      </c>
      <c r="D5" s="713"/>
      <c r="E5" s="587" t="s">
        <v>97</v>
      </c>
      <c r="F5" s="714" t="s">
        <v>253</v>
      </c>
      <c r="G5" s="715"/>
      <c r="H5" s="47">
        <v>2021</v>
      </c>
      <c r="I5" s="716">
        <v>2022</v>
      </c>
      <c r="J5" s="717"/>
      <c r="K5" s="718"/>
      <c r="L5" s="719">
        <v>2023</v>
      </c>
      <c r="M5" s="720"/>
      <c r="N5" s="721"/>
      <c r="O5" s="703">
        <v>2024</v>
      </c>
      <c r="P5" s="704"/>
      <c r="Q5" s="704"/>
      <c r="R5" s="703">
        <v>2025</v>
      </c>
      <c r="S5" s="704"/>
      <c r="T5" s="704"/>
      <c r="U5" s="493">
        <v>2026</v>
      </c>
      <c r="V5" s="491"/>
      <c r="W5" s="26"/>
      <c r="X5" s="26"/>
      <c r="Y5" s="26"/>
    </row>
    <row r="6" spans="1:26" ht="15" customHeight="1" x14ac:dyDescent="0.25">
      <c r="B6" s="6"/>
      <c r="C6" s="632" t="s">
        <v>61</v>
      </c>
      <c r="D6" s="634" t="s">
        <v>54</v>
      </c>
      <c r="E6" s="710"/>
      <c r="F6" s="708" t="s">
        <v>123</v>
      </c>
      <c r="G6" s="662" t="s">
        <v>124</v>
      </c>
      <c r="H6" s="707" t="s">
        <v>99</v>
      </c>
      <c r="I6" s="169" t="s">
        <v>130</v>
      </c>
      <c r="J6" s="722" t="s">
        <v>254</v>
      </c>
      <c r="K6" s="161" t="s">
        <v>131</v>
      </c>
      <c r="L6" s="210" t="s">
        <v>132</v>
      </c>
      <c r="M6" s="722" t="s">
        <v>255</v>
      </c>
      <c r="N6" s="209" t="s">
        <v>153</v>
      </c>
      <c r="O6" s="485" t="s">
        <v>156</v>
      </c>
      <c r="P6" s="487" t="s">
        <v>256</v>
      </c>
      <c r="Q6" s="486" t="s">
        <v>211</v>
      </c>
      <c r="R6" s="485" t="s">
        <v>212</v>
      </c>
      <c r="S6" s="490" t="s">
        <v>257</v>
      </c>
      <c r="T6" s="489" t="s">
        <v>258</v>
      </c>
      <c r="U6" s="162" t="s">
        <v>259</v>
      </c>
      <c r="V6" s="7"/>
    </row>
    <row r="7" spans="1:26" ht="15" customHeight="1" thickBot="1" x14ac:dyDescent="0.3">
      <c r="B7" s="6"/>
      <c r="C7" s="706"/>
      <c r="D7" s="711"/>
      <c r="E7" s="588"/>
      <c r="F7" s="709"/>
      <c r="G7" s="588"/>
      <c r="H7" s="651"/>
      <c r="I7" s="65" t="s">
        <v>127</v>
      </c>
      <c r="J7" s="723"/>
      <c r="K7" s="214" t="s">
        <v>128</v>
      </c>
      <c r="L7" s="213" t="s">
        <v>129</v>
      </c>
      <c r="M7" s="723"/>
      <c r="N7" s="214" t="s">
        <v>154</v>
      </c>
      <c r="O7" s="483" t="s">
        <v>155</v>
      </c>
      <c r="P7" s="488"/>
      <c r="Q7" s="484" t="s">
        <v>213</v>
      </c>
      <c r="R7" s="483" t="s">
        <v>214</v>
      </c>
      <c r="S7" s="488" t="s">
        <v>260</v>
      </c>
      <c r="T7" s="484" t="s">
        <v>209</v>
      </c>
      <c r="U7" s="163" t="s">
        <v>261</v>
      </c>
      <c r="V7" s="7"/>
    </row>
    <row r="8" spans="1:26" x14ac:dyDescent="0.25">
      <c r="A8"/>
      <c r="B8" s="23"/>
      <c r="C8" s="150" t="str">
        <f>'Nominal retained catches'!B5</f>
        <v>AUS</v>
      </c>
      <c r="D8" s="16" t="str">
        <f>'Nominal retained catches'!D5</f>
        <v>DD, C</v>
      </c>
      <c r="E8" s="152">
        <f>'21-01 base annual limits'!O8</f>
        <v>2000</v>
      </c>
      <c r="F8" s="49">
        <v>0</v>
      </c>
      <c r="G8" s="50">
        <v>0</v>
      </c>
      <c r="H8" s="218">
        <f>'Nominal retained catches'!L5</f>
        <v>21.5823941196318</v>
      </c>
      <c r="I8" s="222">
        <f>E8-F8/2-G8/2</f>
        <v>2000</v>
      </c>
      <c r="J8" s="215">
        <f>'Nominal retained catches'!M5</f>
        <v>17.215044633189901</v>
      </c>
      <c r="K8" s="216">
        <f t="shared" ref="K8:K15" si="0">IF(J8&gt;I8,J8-I8,0)</f>
        <v>0</v>
      </c>
      <c r="L8" s="553">
        <f t="shared" ref="L8:L13" si="1">E8-F8/2-G8/2-K8/2</f>
        <v>2000</v>
      </c>
      <c r="M8" s="133">
        <f>'Nominal retained catches'!N5</f>
        <v>47.642204177804302</v>
      </c>
      <c r="N8" s="216">
        <f t="shared" ref="N8:N14" si="2">IF(M8&gt;L8,M8-L8,0)</f>
        <v>0</v>
      </c>
      <c r="O8" s="466">
        <f>E8-K8/2-N8/2</f>
        <v>2000</v>
      </c>
      <c r="P8" s="464">
        <f>'Nominal retained catches'!O5</f>
        <v>35.652233367859999</v>
      </c>
      <c r="Q8" s="159">
        <f t="shared" ref="Q8:Q14" si="3">IF(P8-O8&gt;0,P8-O8,0)</f>
        <v>0</v>
      </c>
      <c r="R8" s="466">
        <f>E8-N8/2-Q8/2</f>
        <v>2000</v>
      </c>
      <c r="S8" s="464">
        <f>R8</f>
        <v>2000</v>
      </c>
      <c r="T8" s="216">
        <f>0</f>
        <v>0</v>
      </c>
      <c r="U8" s="220">
        <f>E8 - Q8/2 - T8/2</f>
        <v>2000</v>
      </c>
      <c r="V8" s="7"/>
    </row>
    <row r="9" spans="1:26" x14ac:dyDescent="0.25">
      <c r="B9" s="6"/>
      <c r="C9" s="150" t="str">
        <f>'Nominal retained catches'!B6</f>
        <v>BGD</v>
      </c>
      <c r="D9" s="16" t="str">
        <f>'Nominal retained catches'!D6</f>
        <v>LD, C</v>
      </c>
      <c r="E9" s="152">
        <f>'21-01 base annual limits'!O9</f>
        <v>2000</v>
      </c>
      <c r="F9" s="155">
        <v>0</v>
      </c>
      <c r="G9" s="156">
        <v>0</v>
      </c>
      <c r="H9" s="218">
        <f>'Nominal retained catches'!L6</f>
        <v>118.53416442871099</v>
      </c>
      <c r="I9" s="145">
        <f t="shared" ref="I9:I37" si="4">E9-F9/2-G9/2</f>
        <v>2000</v>
      </c>
      <c r="J9" s="133">
        <f>'Nominal retained catches'!M6</f>
        <v>35.574146270752003</v>
      </c>
      <c r="K9" s="159">
        <f t="shared" si="0"/>
        <v>0</v>
      </c>
      <c r="L9" s="470">
        <f t="shared" si="1"/>
        <v>2000</v>
      </c>
      <c r="M9" s="133">
        <f>'Nominal retained catches'!N6</f>
        <v>0</v>
      </c>
      <c r="N9" s="159">
        <f t="shared" si="2"/>
        <v>0</v>
      </c>
      <c r="O9" s="470">
        <f t="shared" ref="O9:O37" si="5">E9-K9/2-N9/2</f>
        <v>2000</v>
      </c>
      <c r="P9" s="464">
        <f>'Nominal retained catches'!O6</f>
        <v>0</v>
      </c>
      <c r="Q9" s="159">
        <f t="shared" si="3"/>
        <v>0</v>
      </c>
      <c r="R9" s="469">
        <f t="shared" ref="R9:R14" si="6">E9-N9/2-Q9/2</f>
        <v>2000</v>
      </c>
      <c r="S9" s="464">
        <f t="shared" ref="S9:S37" si="7">R9</f>
        <v>2000</v>
      </c>
      <c r="T9" s="159">
        <f>0</f>
        <v>0</v>
      </c>
      <c r="U9" s="482">
        <f t="shared" ref="U9:U37" si="8">E9 - Q9/2 - T9/2</f>
        <v>2000</v>
      </c>
      <c r="V9" s="7"/>
    </row>
    <row r="10" spans="1:26" x14ac:dyDescent="0.25">
      <c r="B10" s="6"/>
      <c r="C10" s="150" t="str">
        <f>'Nominal retained catches'!B7</f>
        <v>CHN</v>
      </c>
      <c r="D10" s="16" t="str">
        <f>'Nominal retained catches'!D7</f>
        <v>DG, DW</v>
      </c>
      <c r="E10" s="152">
        <f>'21-01 base annual limits'!O10</f>
        <v>4641.2020263671902</v>
      </c>
      <c r="F10" s="155">
        <v>0</v>
      </c>
      <c r="G10" s="156">
        <v>0</v>
      </c>
      <c r="H10" s="218">
        <f>'Nominal retained catches'!L7</f>
        <v>2702.0970191955598</v>
      </c>
      <c r="I10" s="145">
        <f>E10-F10/2-G10/2</f>
        <v>4641.2020263671902</v>
      </c>
      <c r="J10" s="133">
        <f>'Nominal retained catches'!M7</f>
        <v>3676.3511264324202</v>
      </c>
      <c r="K10" s="159">
        <f t="shared" si="0"/>
        <v>0</v>
      </c>
      <c r="L10" s="208">
        <f t="shared" si="1"/>
        <v>4641.2020263671902</v>
      </c>
      <c r="M10" s="133">
        <f>'Nominal retained catches'!N7</f>
        <v>4297.2371063232404</v>
      </c>
      <c r="N10" s="285">
        <f t="shared" si="2"/>
        <v>0</v>
      </c>
      <c r="O10" s="208">
        <f t="shared" si="5"/>
        <v>4641.2020263671902</v>
      </c>
      <c r="P10" s="464">
        <f>'Nominal retained catches'!O7</f>
        <v>4468.72998046875</v>
      </c>
      <c r="Q10" s="285">
        <f t="shared" si="3"/>
        <v>0</v>
      </c>
      <c r="R10" s="552">
        <f t="shared" si="6"/>
        <v>4641.2020263671902</v>
      </c>
      <c r="S10" s="464">
        <f>R10</f>
        <v>4641.2020263671902</v>
      </c>
      <c r="T10" s="285">
        <f>0</f>
        <v>0</v>
      </c>
      <c r="U10" s="208">
        <f t="shared" si="8"/>
        <v>4641.2020263671902</v>
      </c>
      <c r="V10" s="7"/>
    </row>
    <row r="11" spans="1:26" x14ac:dyDescent="0.25">
      <c r="B11" s="6"/>
      <c r="C11" s="150" t="str">
        <f>'Nominal retained catches'!B8</f>
        <v>COM</v>
      </c>
      <c r="D11" s="16" t="str">
        <f>'Nominal retained catches'!D8</f>
        <v>LD, S, C</v>
      </c>
      <c r="E11" s="152">
        <f>'21-01 base annual limits'!O11</f>
        <v>5279.2092437744104</v>
      </c>
      <c r="F11" s="155">
        <v>0</v>
      </c>
      <c r="G11" s="156">
        <v>0</v>
      </c>
      <c r="H11" s="218">
        <f>'Nominal retained catches'!L8</f>
        <v>4882.5838470459003</v>
      </c>
      <c r="I11" s="145">
        <f t="shared" si="4"/>
        <v>5279.2092437744104</v>
      </c>
      <c r="J11" s="133">
        <f>'Nominal retained catches'!M8</f>
        <v>4426.91503143311</v>
      </c>
      <c r="K11" s="159">
        <f t="shared" si="0"/>
        <v>0</v>
      </c>
      <c r="L11" s="208">
        <f t="shared" si="1"/>
        <v>5279.2092437744104</v>
      </c>
      <c r="M11" s="133">
        <f>'Nominal retained catches'!N8</f>
        <v>3193.8279571533199</v>
      </c>
      <c r="N11" s="159">
        <f t="shared" si="2"/>
        <v>0</v>
      </c>
      <c r="O11" s="467">
        <f t="shared" si="5"/>
        <v>5279.2092437744104</v>
      </c>
      <c r="P11" s="464">
        <f>'Nominal retained catches'!O8</f>
        <v>5052.4344196319598</v>
      </c>
      <c r="Q11" s="159">
        <f t="shared" si="3"/>
        <v>0</v>
      </c>
      <c r="R11" s="469">
        <f t="shared" si="6"/>
        <v>5279.2092437744104</v>
      </c>
      <c r="S11" s="464">
        <f t="shared" si="7"/>
        <v>5279.2092437744104</v>
      </c>
      <c r="T11" s="159">
        <f>0</f>
        <v>0</v>
      </c>
      <c r="U11" s="482">
        <f t="shared" si="8"/>
        <v>5279.2092437744104</v>
      </c>
      <c r="V11" s="7"/>
    </row>
    <row r="12" spans="1:26" x14ac:dyDescent="0.25">
      <c r="B12" s="6"/>
      <c r="C12" s="150" t="str">
        <f>'Nominal retained catches'!B9</f>
        <v>EUR</v>
      </c>
      <c r="D12" s="16" t="str">
        <f>'Nominal retained catches'!D9</f>
        <v>DD, C</v>
      </c>
      <c r="E12" s="152">
        <f>'21-01 base annual limits'!O12</f>
        <v>73078.282360134108</v>
      </c>
      <c r="F12" s="155">
        <f>'19-01 catch, overcatch, limits'!I8</f>
        <v>0</v>
      </c>
      <c r="G12" s="156">
        <f>'19-01 catch, overcatch, limits'!L8</f>
        <v>3022.4894546509313</v>
      </c>
      <c r="H12" s="218">
        <f>'Nominal retained catches'!L9</f>
        <v>76295.546055727493</v>
      </c>
      <c r="I12" s="145">
        <f>E12-F12/2-G12/2</f>
        <v>71567.037632808642</v>
      </c>
      <c r="J12" s="133">
        <f>'Nominal retained catches'!M9</f>
        <v>69058.296926855997</v>
      </c>
      <c r="K12" s="159">
        <f t="shared" si="0"/>
        <v>0</v>
      </c>
      <c r="L12" s="208">
        <f t="shared" si="1"/>
        <v>71567.037632808642</v>
      </c>
      <c r="M12" s="133">
        <f>'Nominal retained catches'!N9</f>
        <v>62653.400647677503</v>
      </c>
      <c r="N12" s="159">
        <f t="shared" si="2"/>
        <v>0</v>
      </c>
      <c r="O12" s="467">
        <f t="shared" si="5"/>
        <v>73078.282360134108</v>
      </c>
      <c r="P12" s="464">
        <f>'Nominal retained catches'!O9</f>
        <v>71561.064461748203</v>
      </c>
      <c r="Q12" s="159">
        <f t="shared" si="3"/>
        <v>0</v>
      </c>
      <c r="R12" s="208">
        <f t="shared" si="6"/>
        <v>73078.282360134108</v>
      </c>
      <c r="S12" s="464">
        <f t="shared" si="7"/>
        <v>73078.282360134108</v>
      </c>
      <c r="T12" s="159">
        <f>0</f>
        <v>0</v>
      </c>
      <c r="U12" s="482">
        <f t="shared" si="8"/>
        <v>73078.282360134108</v>
      </c>
      <c r="V12" s="7"/>
    </row>
    <row r="13" spans="1:26" x14ac:dyDescent="0.25">
      <c r="B13" s="6"/>
      <c r="C13" s="150" t="str">
        <f>'Nominal retained catches'!B10</f>
        <v>FRAT</v>
      </c>
      <c r="D13" s="16" t="str">
        <f>'Nominal retained catches'!D10</f>
        <v>DD, C</v>
      </c>
      <c r="E13" s="152">
        <f>'21-01 base annual limits'!O13</f>
        <v>500</v>
      </c>
      <c r="F13" s="155">
        <v>0</v>
      </c>
      <c r="G13" s="156">
        <v>0</v>
      </c>
      <c r="H13" s="218">
        <f>'Nominal retained catches'!L10</f>
        <v>0</v>
      </c>
      <c r="I13" s="145">
        <f t="shared" si="4"/>
        <v>500</v>
      </c>
      <c r="J13" s="133">
        <f>'Nominal retained catches'!M10</f>
        <v>0</v>
      </c>
      <c r="K13" s="159">
        <f t="shared" si="0"/>
        <v>0</v>
      </c>
      <c r="L13" s="467">
        <f t="shared" si="1"/>
        <v>500</v>
      </c>
      <c r="M13" s="133">
        <f>'Nominal retained catches'!N10</f>
        <v>0</v>
      </c>
      <c r="N13" s="159">
        <f t="shared" si="2"/>
        <v>0</v>
      </c>
      <c r="O13" s="467">
        <f t="shared" si="5"/>
        <v>500</v>
      </c>
      <c r="P13" s="464">
        <f>'Nominal retained catches'!O10</f>
        <v>0</v>
      </c>
      <c r="Q13" s="285">
        <f t="shared" si="3"/>
        <v>0</v>
      </c>
      <c r="R13" s="481">
        <f t="shared" si="6"/>
        <v>500</v>
      </c>
      <c r="S13" s="133">
        <f t="shared" si="7"/>
        <v>500</v>
      </c>
      <c r="T13" s="159">
        <f>0</f>
        <v>0</v>
      </c>
      <c r="U13" s="478">
        <f t="shared" si="8"/>
        <v>500</v>
      </c>
      <c r="V13" s="7"/>
    </row>
    <row r="14" spans="1:26" x14ac:dyDescent="0.25">
      <c r="B14" s="6"/>
      <c r="C14" s="150" t="str">
        <f>'Nominal retained catches'!B11</f>
        <v>GBR</v>
      </c>
      <c r="D14" s="16" t="str">
        <f>'Nominal retained catches'!D11</f>
        <v>DD, DW</v>
      </c>
      <c r="E14" s="152">
        <f>'21-01 base annual limits'!O14</f>
        <v>500</v>
      </c>
      <c r="F14" s="155">
        <v>0</v>
      </c>
      <c r="G14" s="156">
        <v>0</v>
      </c>
      <c r="H14" s="218">
        <f>'Nominal retained catches'!L11</f>
        <v>2.6006901675071101</v>
      </c>
      <c r="I14" s="145">
        <f t="shared" si="4"/>
        <v>500</v>
      </c>
      <c r="J14" s="133">
        <f>'Nominal retained catches'!M11</f>
        <v>1.6009562015533401</v>
      </c>
      <c r="K14" s="159">
        <f t="shared" si="0"/>
        <v>0</v>
      </c>
      <c r="L14" s="479">
        <f t="shared" ref="L14:L37" si="9">E14-F14/2 - G14/2-K14/2</f>
        <v>500</v>
      </c>
      <c r="M14" s="133">
        <f>'Nominal retained catches'!N11</f>
        <v>1.2063014268690599</v>
      </c>
      <c r="N14" s="159">
        <f t="shared" si="2"/>
        <v>0</v>
      </c>
      <c r="O14" s="467">
        <f t="shared" si="5"/>
        <v>500</v>
      </c>
      <c r="P14" s="464">
        <f>'Nominal retained catches'!O11</f>
        <v>1.12943994998932</v>
      </c>
      <c r="Q14" s="159">
        <f t="shared" si="3"/>
        <v>0</v>
      </c>
      <c r="R14" s="208">
        <f t="shared" si="6"/>
        <v>500</v>
      </c>
      <c r="S14" s="464">
        <f t="shared" si="7"/>
        <v>500</v>
      </c>
      <c r="T14" s="159">
        <f>0</f>
        <v>0</v>
      </c>
      <c r="U14" s="479">
        <f t="shared" si="8"/>
        <v>500</v>
      </c>
      <c r="V14" s="7"/>
    </row>
    <row r="15" spans="1:26" ht="14.25" customHeight="1" x14ac:dyDescent="0.25">
      <c r="B15" s="6"/>
      <c r="C15" s="150" t="str">
        <f>'Nominal retained catches'!B12</f>
        <v>IDN</v>
      </c>
      <c r="D15" s="16" t="str">
        <f>'Nominal retained catches'!D12</f>
        <v>DG, C</v>
      </c>
      <c r="E15" s="152">
        <f>'21-01 base annual limits'!O15</f>
        <v>45426.377801513634</v>
      </c>
      <c r="F15" s="155">
        <v>0</v>
      </c>
      <c r="G15" s="156">
        <f>'19-01 catch, overcatch, limits'!L9</f>
        <v>0</v>
      </c>
      <c r="H15" s="218">
        <f>'Nominal retained catches'!L12</f>
        <v>42208.324748039202</v>
      </c>
      <c r="I15" s="184" t="s">
        <v>262</v>
      </c>
      <c r="J15" s="133">
        <f>'Nominal retained catches'!M12</f>
        <v>62986.766418457002</v>
      </c>
      <c r="K15" s="159">
        <f t="shared" si="0"/>
        <v>0</v>
      </c>
      <c r="L15" s="147" t="s">
        <v>262</v>
      </c>
      <c r="M15" s="133">
        <f>'Nominal retained catches'!N12</f>
        <v>53460.176620483398</v>
      </c>
      <c r="N15" s="159">
        <f>IF(M15&gt;L15,M15-L15,0)</f>
        <v>0</v>
      </c>
      <c r="O15" s="147" t="s">
        <v>262</v>
      </c>
      <c r="P15" s="464">
        <f>'Nominal retained catches'!O12</f>
        <v>56114.030319213904</v>
      </c>
      <c r="Q15" s="159">
        <v>0</v>
      </c>
      <c r="R15" s="208">
        <f>E15-N15/2-Q15/2</f>
        <v>45426.377801513634</v>
      </c>
      <c r="S15" s="464">
        <f t="shared" si="7"/>
        <v>45426.377801513634</v>
      </c>
      <c r="T15" s="159">
        <f>0</f>
        <v>0</v>
      </c>
      <c r="U15" s="478">
        <f t="shared" si="8"/>
        <v>45426.377801513634</v>
      </c>
      <c r="V15" s="7"/>
    </row>
    <row r="16" spans="1:26" hidden="1" x14ac:dyDescent="0.25">
      <c r="B16" s="6"/>
      <c r="C16" s="178" t="str">
        <f>'Nominal retained catches'!B13</f>
        <v>IND</v>
      </c>
      <c r="D16" s="179" t="str">
        <f>'Nominal retained catches'!D13</f>
        <v>DG, C</v>
      </c>
      <c r="E16" s="211"/>
      <c r="F16" s="495"/>
      <c r="G16" s="223"/>
      <c r="H16" s="494">
        <f>'Nominal retained catches'!L13</f>
        <v>24515.398932464399</v>
      </c>
      <c r="I16" s="182">
        <f t="shared" si="4"/>
        <v>0</v>
      </c>
      <c r="J16" s="457">
        <f>'Nominal retained catches'!M13</f>
        <v>20850.7520325482</v>
      </c>
      <c r="K16" s="463"/>
      <c r="L16" s="554"/>
      <c r="M16" s="183">
        <f>'Nominal retained catches'!N13</f>
        <v>21246.934996187701</v>
      </c>
      <c r="N16" s="475"/>
      <c r="O16" s="462"/>
      <c r="P16" s="465">
        <f>'Nominal retained catches'!O13</f>
        <v>31163</v>
      </c>
      <c r="Q16" s="463"/>
      <c r="R16" s="473"/>
      <c r="S16" s="465">
        <f t="shared" si="7"/>
        <v>0</v>
      </c>
      <c r="T16" s="463">
        <f>0</f>
        <v>0</v>
      </c>
      <c r="U16" s="463">
        <f>0</f>
        <v>0</v>
      </c>
      <c r="V16" s="7"/>
    </row>
    <row r="17" spans="2:22" hidden="1" x14ac:dyDescent="0.25">
      <c r="B17" s="6"/>
      <c r="C17" s="178" t="str">
        <f>'Nominal retained catches'!B14</f>
        <v>IRN</v>
      </c>
      <c r="D17" s="179" t="str">
        <f>'Nominal retained catches'!D14</f>
        <v>DG, C</v>
      </c>
      <c r="E17" s="211"/>
      <c r="F17" s="495"/>
      <c r="G17" s="223"/>
      <c r="H17" s="494">
        <f>'Nominal retained catches'!L14</f>
        <v>44280.90234375</v>
      </c>
      <c r="I17" s="182">
        <f>E17-F17/2-G17/2</f>
        <v>0</v>
      </c>
      <c r="J17" s="457">
        <f>'Nominal retained catches'!M14</f>
        <v>38821.28125</v>
      </c>
      <c r="K17" s="463"/>
      <c r="L17" s="555">
        <f>E17-F17/2 - G17/2-K17/2</f>
        <v>0</v>
      </c>
      <c r="M17" s="183">
        <f>'Nominal retained catches'!N14</f>
        <v>37350.240234375</v>
      </c>
      <c r="N17" s="217"/>
      <c r="O17" s="462">
        <v>0</v>
      </c>
      <c r="P17" s="465">
        <f>'Nominal retained catches'!O14</f>
        <v>42531.001098632798</v>
      </c>
      <c r="Q17" s="463"/>
      <c r="R17" s="472"/>
      <c r="S17" s="465">
        <f t="shared" si="7"/>
        <v>0</v>
      </c>
      <c r="T17" s="463">
        <f>0</f>
        <v>0</v>
      </c>
      <c r="U17" s="463">
        <f>0</f>
        <v>0</v>
      </c>
      <c r="V17" s="7"/>
    </row>
    <row r="18" spans="2:22" x14ac:dyDescent="0.25">
      <c r="B18" s="6"/>
      <c r="C18" s="150" t="str">
        <f>'Nominal retained catches'!B15</f>
        <v>JPN</v>
      </c>
      <c r="D18" s="16" t="str">
        <f>'Nominal retained catches'!D15</f>
        <v>DD, DW</v>
      </c>
      <c r="E18" s="152">
        <f>'21-01 base annual limits'!O18</f>
        <v>4002.7001037597702</v>
      </c>
      <c r="F18" s="155">
        <v>0</v>
      </c>
      <c r="G18" s="156">
        <v>0</v>
      </c>
      <c r="H18" s="218">
        <f>'Nominal retained catches'!L15</f>
        <v>1027.5</v>
      </c>
      <c r="I18" s="145">
        <f t="shared" si="4"/>
        <v>4002.7001037597702</v>
      </c>
      <c r="J18" s="133">
        <f>'Nominal retained catches'!M15</f>
        <v>1372.8800354003899</v>
      </c>
      <c r="K18" s="159">
        <f>IF(J18&gt;I18,J18-I18,0)</f>
        <v>0</v>
      </c>
      <c r="L18" s="208">
        <f t="shared" si="9"/>
        <v>4002.7001037597702</v>
      </c>
      <c r="M18" s="133">
        <f>'Nominal retained catches'!N15</f>
        <v>2018.41003417969</v>
      </c>
      <c r="N18" s="159">
        <f>IF(M18&gt;L18,M18-L18,0)</f>
        <v>0</v>
      </c>
      <c r="O18" s="467">
        <f t="shared" si="5"/>
        <v>4002.7001037597702</v>
      </c>
      <c r="P18" s="464">
        <f>'Nominal retained catches'!O15</f>
        <v>2087.2999572753902</v>
      </c>
      <c r="Q18" s="159">
        <f t="shared" ref="Q18:Q37" si="10">IF(P18-O18&gt;0,P18-O18,0)</f>
        <v>0</v>
      </c>
      <c r="R18" s="470">
        <f>E18-N18/2-Q18/2</f>
        <v>4002.7001037597702</v>
      </c>
      <c r="S18" s="464">
        <f t="shared" si="7"/>
        <v>4002.7001037597702</v>
      </c>
      <c r="T18" s="159">
        <f>0</f>
        <v>0</v>
      </c>
      <c r="U18" s="482">
        <f t="shared" si="8"/>
        <v>4002.7001037597702</v>
      </c>
      <c r="V18" s="7"/>
    </row>
    <row r="19" spans="2:22" x14ac:dyDescent="0.25">
      <c r="B19" s="6"/>
      <c r="C19" s="150" t="str">
        <f>'Nominal retained catches'!B16</f>
        <v>KEN</v>
      </c>
      <c r="D19" s="16" t="str">
        <f>'Nominal retained catches'!D16</f>
        <v>DG, C</v>
      </c>
      <c r="E19" s="152">
        <f>'21-01 base annual limits'!O19</f>
        <v>3654.2361297607399</v>
      </c>
      <c r="F19" s="155">
        <v>0</v>
      </c>
      <c r="G19" s="156">
        <v>0</v>
      </c>
      <c r="H19" s="218">
        <f>'Nominal retained catches'!L16</f>
        <v>572.85173262573096</v>
      </c>
      <c r="I19" s="145">
        <f t="shared" si="4"/>
        <v>3654.2361297607399</v>
      </c>
      <c r="J19" s="133">
        <f>'Nominal retained catches'!M16</f>
        <v>1958.48142623901</v>
      </c>
      <c r="K19" s="159">
        <f>IF(J19&gt;I19,J19-I19,0)</f>
        <v>0</v>
      </c>
      <c r="L19" s="479">
        <f t="shared" si="9"/>
        <v>3654.2361297607399</v>
      </c>
      <c r="M19" s="133">
        <f>'Nominal retained catches'!N16</f>
        <v>969.35087463838101</v>
      </c>
      <c r="N19" s="159">
        <f>IF(M19&gt;L19,M19-L19,0)</f>
        <v>0</v>
      </c>
      <c r="O19" s="467">
        <f t="shared" si="5"/>
        <v>3654.2361297607399</v>
      </c>
      <c r="P19" s="464">
        <f>'Nominal retained catches'!O16</f>
        <v>3638.97052717209</v>
      </c>
      <c r="Q19" s="159">
        <f t="shared" si="10"/>
        <v>0</v>
      </c>
      <c r="R19" s="470">
        <f>E19-N19/2-Q19/2</f>
        <v>3654.2361297607399</v>
      </c>
      <c r="S19" s="464">
        <f t="shared" si="7"/>
        <v>3654.2361297607399</v>
      </c>
      <c r="T19" s="159">
        <f>0</f>
        <v>0</v>
      </c>
      <c r="U19" s="482">
        <f t="shared" si="8"/>
        <v>3654.2361297607399</v>
      </c>
      <c r="V19" s="7"/>
    </row>
    <row r="20" spans="2:22" x14ac:dyDescent="0.25">
      <c r="B20" s="6"/>
      <c r="C20" s="150" t="str">
        <f>'Nominal retained catches'!B17</f>
        <v>KOR</v>
      </c>
      <c r="D20" s="16" t="str">
        <f>'Nominal retained catches'!D17</f>
        <v>DG, DW</v>
      </c>
      <c r="E20" s="152">
        <f>'21-01 base annual limits'!O20</f>
        <v>9055.875470589237</v>
      </c>
      <c r="F20" s="155">
        <f>'19-01 catch, overcatch, limits'!I10</f>
        <v>0</v>
      </c>
      <c r="G20" s="156">
        <f>'19-01 catch, overcatch, limits'!L10</f>
        <v>0</v>
      </c>
      <c r="H20" s="218">
        <f>'Nominal retained catches'!L17</f>
        <v>6207.9500012397802</v>
      </c>
      <c r="I20" s="145">
        <f t="shared" si="4"/>
        <v>9055.875470589237</v>
      </c>
      <c r="J20" s="133">
        <f>'Nominal retained catches'!M17</f>
        <v>4259</v>
      </c>
      <c r="K20" s="159">
        <f>IF(J20&gt;I20,J20-I20,0)</f>
        <v>0</v>
      </c>
      <c r="L20" s="470">
        <f t="shared" si="9"/>
        <v>9055.875470589237</v>
      </c>
      <c r="M20" s="133">
        <f>'Nominal retained catches'!N17</f>
        <v>4616</v>
      </c>
      <c r="N20" s="159">
        <f>IF(M20&gt;L20,M20-L20,0)</f>
        <v>0</v>
      </c>
      <c r="O20" s="467">
        <f t="shared" si="5"/>
        <v>9055.875470589237</v>
      </c>
      <c r="P20" s="464">
        <f>'Nominal retained catches'!O17</f>
        <v>3529.1400146484398</v>
      </c>
      <c r="Q20" s="159">
        <f t="shared" si="10"/>
        <v>0</v>
      </c>
      <c r="R20" s="470">
        <f>E20-N20/2-Q20/2</f>
        <v>9055.875470589237</v>
      </c>
      <c r="S20" s="464">
        <f t="shared" si="7"/>
        <v>9055.875470589237</v>
      </c>
      <c r="T20" s="159">
        <f>0</f>
        <v>0</v>
      </c>
      <c r="U20" s="482">
        <f t="shared" si="8"/>
        <v>9055.875470589237</v>
      </c>
      <c r="V20" s="7"/>
    </row>
    <row r="21" spans="2:22" s="13" customFormat="1" x14ac:dyDescent="0.25">
      <c r="B21" s="6"/>
      <c r="C21" s="150" t="str">
        <f>'Nominal retained catches'!B18</f>
        <v>LKA</v>
      </c>
      <c r="D21" s="16" t="str">
        <f>'Nominal retained catches'!D18</f>
        <v>DG, C</v>
      </c>
      <c r="E21" s="152">
        <f>'21-01 base annual limits'!O21</f>
        <v>33244.812692372951</v>
      </c>
      <c r="F21" s="155">
        <f>'19-01 catch, overcatch, limits'!I19</f>
        <v>0</v>
      </c>
      <c r="G21" s="156">
        <f>'19-01 catch, overcatch, limits'!L19</f>
        <v>0</v>
      </c>
      <c r="H21" s="218">
        <f>'Nominal retained catches'!L18</f>
        <v>31318.236936696001</v>
      </c>
      <c r="I21" s="145">
        <f>E21-F21/2-G21/2</f>
        <v>33244.812692372951</v>
      </c>
      <c r="J21" s="133">
        <f>'Nominal retained catches'!M18</f>
        <v>30038.3204142758</v>
      </c>
      <c r="K21" s="159">
        <f>IF(J21&gt;I21,J21-I21,0)</f>
        <v>0</v>
      </c>
      <c r="L21" s="208">
        <f>E21-F21/2 - G21/2-K21/2</f>
        <v>33244.812692372951</v>
      </c>
      <c r="M21" s="133">
        <f>'Nominal retained catches'!N18</f>
        <v>30310.189114246801</v>
      </c>
      <c r="N21" s="159">
        <f>IF(M21&gt;L21,M21-L21,0)</f>
        <v>0</v>
      </c>
      <c r="O21" s="467">
        <f>E21-K21/2-N21/2</f>
        <v>33244.812692372951</v>
      </c>
      <c r="P21" s="464">
        <f>'Nominal retained catches'!O18</f>
        <v>33303.399884223902</v>
      </c>
      <c r="Q21" s="159">
        <f t="shared" si="10"/>
        <v>58.587191850951058</v>
      </c>
      <c r="R21" s="208">
        <f>E21-N21/2-Q21/2</f>
        <v>33215.519096447475</v>
      </c>
      <c r="S21" s="464">
        <f t="shared" si="7"/>
        <v>33215.519096447475</v>
      </c>
      <c r="T21" s="159">
        <f>0</f>
        <v>0</v>
      </c>
      <c r="U21" s="478">
        <f>E21 - Q21/2 - T21/2</f>
        <v>33215.519096447475</v>
      </c>
      <c r="V21" s="7"/>
    </row>
    <row r="22" spans="2:22" s="13" customFormat="1" hidden="1" x14ac:dyDescent="0.25">
      <c r="B22" s="6"/>
      <c r="C22" s="178" t="str">
        <f>'Nominal retained catches'!B19</f>
        <v>MDG</v>
      </c>
      <c r="D22" s="179" t="str">
        <f>'Nominal retained catches'!D19</f>
        <v>LD, C</v>
      </c>
      <c r="E22" s="211"/>
      <c r="F22" s="495"/>
      <c r="G22" s="223"/>
      <c r="H22" s="457">
        <f>'Nominal retained catches'!L19</f>
        <v>707.47707593910297</v>
      </c>
      <c r="I22" s="182">
        <f t="shared" si="4"/>
        <v>0</v>
      </c>
      <c r="J22" s="457">
        <f>'Nominal retained catches'!M19</f>
        <v>707.64325106008801</v>
      </c>
      <c r="K22" s="458"/>
      <c r="L22" s="554">
        <f t="shared" si="9"/>
        <v>0</v>
      </c>
      <c r="M22" s="456">
        <f>'Nominal retained catches'!N19</f>
        <v>698.56999951397995</v>
      </c>
      <c r="N22" s="460"/>
      <c r="O22" s="476"/>
      <c r="P22" s="456">
        <f>'Nominal retained catches'!O19</f>
        <v>347.69699859619101</v>
      </c>
      <c r="Q22" s="463">
        <f t="shared" si="10"/>
        <v>347.69699859619101</v>
      </c>
      <c r="R22" s="477"/>
      <c r="S22" s="464">
        <f t="shared" si="7"/>
        <v>0</v>
      </c>
      <c r="T22" s="463">
        <f>0</f>
        <v>0</v>
      </c>
      <c r="U22" s="463">
        <f>0</f>
        <v>0</v>
      </c>
      <c r="V22" s="7"/>
    </row>
    <row r="23" spans="2:22" s="13" customFormat="1" x14ac:dyDescent="0.25">
      <c r="B23" s="6"/>
      <c r="C23" s="150" t="str">
        <f>'Nominal retained catches'!B20</f>
        <v>MDV</v>
      </c>
      <c r="D23" s="16" t="str">
        <f>'Nominal retained catches'!D20</f>
        <v>DG, S, C</v>
      </c>
      <c r="E23" s="152">
        <f>'21-01 base annual limits'!O23</f>
        <v>47194.801020812971</v>
      </c>
      <c r="F23" s="155">
        <f>'19-01 catch, overcatch, limits'!I29+'19-01 catch, overcatch, limits'!I30</f>
        <v>0</v>
      </c>
      <c r="G23" s="156">
        <f>'19-01 catch, overcatch, limits'!L29+'19-01 catch, overcatch, limits'!L30</f>
        <v>0</v>
      </c>
      <c r="H23" s="461">
        <f>'Nominal retained catches'!L20</f>
        <v>24547.862437248201</v>
      </c>
      <c r="I23" s="145">
        <f t="shared" si="4"/>
        <v>47194.801020812971</v>
      </c>
      <c r="J23" s="133">
        <f>'Nominal retained catches'!M20</f>
        <v>28082.963220171601</v>
      </c>
      <c r="K23" s="159">
        <f>IF(J23&gt;I23,J23-I23,0)</f>
        <v>0</v>
      </c>
      <c r="L23" s="470">
        <f t="shared" si="9"/>
        <v>47194.801020812971</v>
      </c>
      <c r="M23" s="133">
        <f>'Nominal retained catches'!N20</f>
        <v>30775.6651370525</v>
      </c>
      <c r="N23" s="159">
        <f>IF(M23&gt;L23,M23-L23,0)</f>
        <v>0</v>
      </c>
      <c r="O23" s="208">
        <f t="shared" si="5"/>
        <v>47194.801020812971</v>
      </c>
      <c r="P23" s="464">
        <f>'Nominal retained catches'!O20</f>
        <v>26477.3200683594</v>
      </c>
      <c r="Q23" s="159">
        <f t="shared" si="10"/>
        <v>0</v>
      </c>
      <c r="R23" s="470">
        <f>E23-N23/2-Q23/2</f>
        <v>47194.801020812971</v>
      </c>
      <c r="S23" s="464">
        <f t="shared" si="7"/>
        <v>47194.801020812971</v>
      </c>
      <c r="T23" s="159">
        <f>0</f>
        <v>0</v>
      </c>
      <c r="U23" s="478">
        <f t="shared" si="8"/>
        <v>47194.801020812971</v>
      </c>
      <c r="V23" s="7"/>
    </row>
    <row r="24" spans="2:22" s="13" customFormat="1" x14ac:dyDescent="0.25">
      <c r="B24" s="6"/>
      <c r="C24" s="150" t="str">
        <f>'Nominal retained catches'!B21</f>
        <v>MOZ</v>
      </c>
      <c r="D24" s="16" t="str">
        <f>'Nominal retained catches'!D21</f>
        <v>LD, C</v>
      </c>
      <c r="E24" s="152">
        <f>'21-01 base annual limits'!O24</f>
        <v>2000</v>
      </c>
      <c r="F24" s="155">
        <v>0</v>
      </c>
      <c r="G24" s="156">
        <v>0</v>
      </c>
      <c r="H24" s="461">
        <f>'Nominal retained catches'!L21</f>
        <v>259</v>
      </c>
      <c r="I24" s="145">
        <f t="shared" si="4"/>
        <v>2000</v>
      </c>
      <c r="J24" s="133">
        <f>'Nominal retained catches'!M21</f>
        <v>75.208999633789105</v>
      </c>
      <c r="K24" s="159">
        <f>IF(J24&gt;I24,J24-I24,0)</f>
        <v>0</v>
      </c>
      <c r="L24" s="208">
        <f t="shared" si="9"/>
        <v>2000</v>
      </c>
      <c r="M24" s="133">
        <f>'Nominal retained catches'!N21</f>
        <v>462</v>
      </c>
      <c r="N24" s="159">
        <f>IF(M24&gt;L24,M24-L24,0)</f>
        <v>0</v>
      </c>
      <c r="O24" s="467">
        <f t="shared" si="5"/>
        <v>2000</v>
      </c>
      <c r="P24" s="464">
        <f>'Nominal retained catches'!O21</f>
        <v>685</v>
      </c>
      <c r="Q24" s="159">
        <f t="shared" si="10"/>
        <v>0</v>
      </c>
      <c r="R24" s="470">
        <f>E24-N24/2-Q24/2</f>
        <v>2000</v>
      </c>
      <c r="S24" s="464">
        <f t="shared" si="7"/>
        <v>2000</v>
      </c>
      <c r="T24" s="159">
        <f>0</f>
        <v>0</v>
      </c>
      <c r="U24" s="479">
        <f t="shared" si="8"/>
        <v>2000</v>
      </c>
      <c r="V24" s="7"/>
    </row>
    <row r="25" spans="2:22" s="13" customFormat="1" x14ac:dyDescent="0.25">
      <c r="B25" s="6"/>
      <c r="C25" s="150" t="str">
        <f>'Nominal retained catches'!B22</f>
        <v>MUS</v>
      </c>
      <c r="D25" s="16" t="str">
        <f>'Nominal retained catches'!D22</f>
        <v>DG, S, C</v>
      </c>
      <c r="E25" s="152">
        <f>'21-01 base annual limits'!O25</f>
        <v>10490.40706890744</v>
      </c>
      <c r="F25" s="155">
        <f>'19-01 catch, overcatch, limits'!I11</f>
        <v>0</v>
      </c>
      <c r="G25" s="156">
        <f>'19-01 catch, overcatch, limits'!L11</f>
        <v>0</v>
      </c>
      <c r="H25" s="461">
        <f>'Nominal retained catches'!L22</f>
        <v>9711.0406017303503</v>
      </c>
      <c r="I25" s="145">
        <f t="shared" si="4"/>
        <v>10490.40706890744</v>
      </c>
      <c r="J25" s="133">
        <f>'Nominal retained catches'!M22</f>
        <v>11191.1886739731</v>
      </c>
      <c r="K25" s="159">
        <f>IF(J25&gt;I25,J25-I25,0)</f>
        <v>700.78160506566019</v>
      </c>
      <c r="L25" s="208">
        <f t="shared" si="9"/>
        <v>10140.016266374609</v>
      </c>
      <c r="M25" s="133">
        <f>'Nominal retained catches'!N22</f>
        <v>9891.0398731231708</v>
      </c>
      <c r="N25" s="159">
        <f>IF(M25&gt;L25,M25-L25,0)</f>
        <v>0</v>
      </c>
      <c r="O25" s="467">
        <f>E25-K25/2-N25/2</f>
        <v>10140.016266374609</v>
      </c>
      <c r="P25" s="464">
        <f>'Nominal retained catches'!O22</f>
        <v>9823.0100404620207</v>
      </c>
      <c r="Q25" s="159">
        <f t="shared" si="10"/>
        <v>0</v>
      </c>
      <c r="R25" s="470">
        <f>E25-N25/2-Q25/2</f>
        <v>10490.40706890744</v>
      </c>
      <c r="S25" s="464">
        <f t="shared" si="7"/>
        <v>10490.40706890744</v>
      </c>
      <c r="T25" s="159">
        <f>0</f>
        <v>0</v>
      </c>
      <c r="U25" s="482">
        <f t="shared" si="8"/>
        <v>10490.40706890744</v>
      </c>
      <c r="V25" s="7"/>
    </row>
    <row r="26" spans="2:22" s="13" customFormat="1" ht="14.25" customHeight="1" x14ac:dyDescent="0.25">
      <c r="B26" s="6"/>
      <c r="C26" s="150" t="str">
        <f>'Nominal retained catches'!B23</f>
        <v>MYS</v>
      </c>
      <c r="D26" s="16" t="str">
        <f>'Nominal retained catches'!D23</f>
        <v>DG, C</v>
      </c>
      <c r="E26" s="152">
        <f>'21-01 base annual limits'!O26</f>
        <v>2000</v>
      </c>
      <c r="F26" s="155">
        <v>0</v>
      </c>
      <c r="G26" s="156">
        <v>0</v>
      </c>
      <c r="H26" s="461">
        <f>'Nominal retained catches'!L23</f>
        <v>390.78698730468801</v>
      </c>
      <c r="I26" s="145">
        <f t="shared" si="4"/>
        <v>2000</v>
      </c>
      <c r="J26" s="133">
        <f>'Nominal retained catches'!M23</f>
        <v>338.680995941162</v>
      </c>
      <c r="K26" s="159">
        <f>IF(J26&gt;I26,J26-I26,0)</f>
        <v>0</v>
      </c>
      <c r="L26" s="208">
        <f t="shared" si="9"/>
        <v>2000</v>
      </c>
      <c r="M26" s="133">
        <f>'Nominal retained catches'!N23</f>
        <v>716.009971618652</v>
      </c>
      <c r="N26" s="159">
        <f>IF(M26&gt;L26,M26-L26,0)</f>
        <v>0</v>
      </c>
      <c r="O26" s="467">
        <f t="shared" si="5"/>
        <v>2000</v>
      </c>
      <c r="P26" s="464">
        <f>'Nominal retained catches'!O23</f>
        <v>662.04998779296898</v>
      </c>
      <c r="Q26" s="159">
        <f t="shared" si="10"/>
        <v>0</v>
      </c>
      <c r="R26" s="208">
        <f>E26-N26/2-Q26/2</f>
        <v>2000</v>
      </c>
      <c r="S26" s="464">
        <f t="shared" si="7"/>
        <v>2000</v>
      </c>
      <c r="T26" s="159">
        <f>0</f>
        <v>0</v>
      </c>
      <c r="U26" s="478">
        <f t="shared" si="8"/>
        <v>2000</v>
      </c>
      <c r="V26" s="7"/>
    </row>
    <row r="27" spans="2:22" s="13" customFormat="1" hidden="1" x14ac:dyDescent="0.25">
      <c r="B27" s="6"/>
      <c r="C27" s="178" t="str">
        <f>'Nominal retained catches'!B24</f>
        <v>OMN</v>
      </c>
      <c r="D27" s="179" t="str">
        <f>'Nominal retained catches'!D24</f>
        <v>DG, C</v>
      </c>
      <c r="E27" s="223"/>
      <c r="F27" s="212"/>
      <c r="G27" s="223"/>
      <c r="H27" s="494">
        <f>'Nominal retained catches'!L24</f>
        <v>75080.315475492403</v>
      </c>
      <c r="I27" s="182">
        <f t="shared" si="4"/>
        <v>0</v>
      </c>
      <c r="J27" s="457">
        <f>'Nominal retained catches'!M24</f>
        <v>77821.061553955107</v>
      </c>
      <c r="K27" s="458"/>
      <c r="L27" s="554">
        <f t="shared" si="9"/>
        <v>0</v>
      </c>
      <c r="M27" s="456">
        <f>'Nominal retained catches'!N24</f>
        <v>70072.047027587905</v>
      </c>
      <c r="N27" s="460"/>
      <c r="O27" s="462"/>
      <c r="P27" s="465">
        <f>'Nominal retained catches'!O24</f>
        <v>88942.367503166199</v>
      </c>
      <c r="Q27" s="463">
        <f t="shared" si="10"/>
        <v>88942.367503166199</v>
      </c>
      <c r="R27" s="472"/>
      <c r="S27" s="464">
        <f t="shared" si="7"/>
        <v>0</v>
      </c>
      <c r="T27" s="463">
        <f>0</f>
        <v>0</v>
      </c>
      <c r="U27" s="463">
        <f>0</f>
        <v>0</v>
      </c>
      <c r="V27" s="7"/>
    </row>
    <row r="28" spans="2:22" s="13" customFormat="1" x14ac:dyDescent="0.25">
      <c r="B28" s="6"/>
      <c r="C28" s="150" t="str">
        <f>'Nominal retained catches'!B25</f>
        <v>PAK</v>
      </c>
      <c r="D28" s="16" t="str">
        <f>'Nominal retained catches'!D25</f>
        <v>DG, C</v>
      </c>
      <c r="E28" s="152">
        <f>'21-01 base annual limits'!O28</f>
        <v>14468.178446635849</v>
      </c>
      <c r="F28" s="155">
        <v>0</v>
      </c>
      <c r="G28" s="156">
        <v>0</v>
      </c>
      <c r="H28" s="461">
        <f>'Nominal retained catches'!L25</f>
        <v>7314.2313053750704</v>
      </c>
      <c r="I28" s="145">
        <f t="shared" si="4"/>
        <v>14468.178446635849</v>
      </c>
      <c r="J28" s="133">
        <f>'Nominal retained catches'!M25</f>
        <v>6763.3937940002697</v>
      </c>
      <c r="K28" s="159">
        <f>IF(J28&gt;I28,J28-I28,0)</f>
        <v>0</v>
      </c>
      <c r="L28" s="208">
        <f t="shared" si="9"/>
        <v>14468.178446635849</v>
      </c>
      <c r="M28" s="133">
        <f>'Nominal retained catches'!N25</f>
        <v>8279.0947734039</v>
      </c>
      <c r="N28" s="159">
        <f>IF(M28&gt;L28,M28-L28,0)</f>
        <v>0</v>
      </c>
      <c r="O28" s="467">
        <f t="shared" si="5"/>
        <v>14468.178446635849</v>
      </c>
      <c r="P28" s="464">
        <f>'Nominal retained catches'!O25</f>
        <v>8647.7295053180806</v>
      </c>
      <c r="Q28" s="159">
        <f t="shared" si="10"/>
        <v>0</v>
      </c>
      <c r="R28" s="470">
        <f>E28-N28/2-Q28/2</f>
        <v>14468.178446635849</v>
      </c>
      <c r="S28" s="464">
        <f t="shared" si="7"/>
        <v>14468.178446635849</v>
      </c>
      <c r="T28" s="159">
        <f>0</f>
        <v>0</v>
      </c>
      <c r="U28" s="482">
        <f t="shared" si="8"/>
        <v>14468.178446635849</v>
      </c>
      <c r="V28" s="7"/>
    </row>
    <row r="29" spans="2:22" s="13" customFormat="1" x14ac:dyDescent="0.25">
      <c r="B29" s="6"/>
      <c r="C29" s="150" t="str">
        <f>'Nominal retained catches'!B26</f>
        <v>PHL</v>
      </c>
      <c r="D29" s="16" t="str">
        <f>'Nominal retained catches'!D26</f>
        <v>DG, DW</v>
      </c>
      <c r="E29" s="152">
        <f>'21-01 base annual limits'!O29</f>
        <v>700</v>
      </c>
      <c r="F29" s="155">
        <v>0</v>
      </c>
      <c r="G29" s="156">
        <v>0</v>
      </c>
      <c r="H29" s="461">
        <f>'Nominal retained catches'!L26</f>
        <v>0</v>
      </c>
      <c r="I29" s="145">
        <f t="shared" si="4"/>
        <v>700</v>
      </c>
      <c r="J29" s="133">
        <f>'Nominal retained catches'!M26</f>
        <v>0</v>
      </c>
      <c r="K29" s="159">
        <f>IF(J29&gt;I29,J29-I29,0)</f>
        <v>0</v>
      </c>
      <c r="L29" s="208">
        <f t="shared" si="9"/>
        <v>700</v>
      </c>
      <c r="M29" s="133">
        <f>'Nominal retained catches'!N26</f>
        <v>0</v>
      </c>
      <c r="N29" s="159">
        <f>IF(M29&gt;L29,M29-L29,0)</f>
        <v>0</v>
      </c>
      <c r="O29" s="467">
        <f t="shared" si="5"/>
        <v>700</v>
      </c>
      <c r="P29" s="464">
        <f>'Nominal retained catches'!O26</f>
        <v>0</v>
      </c>
      <c r="Q29" s="159">
        <f t="shared" si="10"/>
        <v>0</v>
      </c>
      <c r="R29" s="470">
        <f>E29-N29/2-Q29/2</f>
        <v>700</v>
      </c>
      <c r="S29" s="464">
        <f t="shared" si="7"/>
        <v>700</v>
      </c>
      <c r="T29" s="159">
        <f>0</f>
        <v>0</v>
      </c>
      <c r="U29" s="478">
        <f t="shared" si="8"/>
        <v>700</v>
      </c>
      <c r="V29" s="7"/>
    </row>
    <row r="30" spans="2:22" s="13" customFormat="1" x14ac:dyDescent="0.25">
      <c r="B30" s="6"/>
      <c r="C30" s="150" t="str">
        <f>'Nominal retained catches'!B27</f>
        <v>SDN</v>
      </c>
      <c r="D30" s="16" t="str">
        <f>'Nominal retained catches'!D27</f>
        <v>LD, C</v>
      </c>
      <c r="E30" s="152">
        <f>'21-01 base annual limits'!O30</f>
        <v>2000</v>
      </c>
      <c r="F30" s="155">
        <v>0</v>
      </c>
      <c r="G30" s="156">
        <v>0</v>
      </c>
      <c r="H30" s="461">
        <f>'Nominal retained catches'!L27</f>
        <v>0</v>
      </c>
      <c r="I30" s="145">
        <f t="shared" si="4"/>
        <v>2000</v>
      </c>
      <c r="J30" s="133">
        <f>'Nominal retained catches'!M27</f>
        <v>0</v>
      </c>
      <c r="K30" s="159">
        <f>IF(J30&gt;I30,J30-I30,0)</f>
        <v>0</v>
      </c>
      <c r="L30" s="208">
        <f t="shared" si="9"/>
        <v>2000</v>
      </c>
      <c r="M30" s="133">
        <f>'Nominal retained catches'!N27</f>
        <v>0</v>
      </c>
      <c r="N30" s="159">
        <f>IF(M30&gt;L30,M30-L30,0)</f>
        <v>0</v>
      </c>
      <c r="O30" s="467">
        <f t="shared" si="5"/>
        <v>2000</v>
      </c>
      <c r="P30" s="464">
        <f>'Nominal retained catches'!O27</f>
        <v>0</v>
      </c>
      <c r="Q30" s="159">
        <f t="shared" si="10"/>
        <v>0</v>
      </c>
      <c r="R30" s="470">
        <f>E30-N30/2-Q30/2</f>
        <v>2000</v>
      </c>
      <c r="S30" s="464">
        <f t="shared" si="7"/>
        <v>2000</v>
      </c>
      <c r="T30" s="159">
        <f>0</f>
        <v>0</v>
      </c>
      <c r="U30" s="474">
        <f t="shared" si="8"/>
        <v>2000</v>
      </c>
      <c r="V30" s="7"/>
    </row>
    <row r="31" spans="2:22" s="13" customFormat="1" hidden="1" x14ac:dyDescent="0.25">
      <c r="B31" s="6"/>
      <c r="C31" s="178" t="str">
        <f>'Nominal retained catches'!B28</f>
        <v>SOM</v>
      </c>
      <c r="D31" s="179" t="str">
        <f>'Nominal retained catches'!D28</f>
        <v>LD, C</v>
      </c>
      <c r="E31" s="211"/>
      <c r="F31" s="495"/>
      <c r="G31" s="223"/>
      <c r="H31" s="457">
        <f>'Nominal retained catches'!L28</f>
        <v>0</v>
      </c>
      <c r="I31" s="182">
        <f t="shared" si="4"/>
        <v>0</v>
      </c>
      <c r="J31" s="456">
        <f>'Nominal retained catches'!M28</f>
        <v>0</v>
      </c>
      <c r="K31" s="458"/>
      <c r="L31" s="554">
        <f t="shared" si="9"/>
        <v>0</v>
      </c>
      <c r="M31" s="456">
        <f>'Nominal retained catches'!N28</f>
        <v>0</v>
      </c>
      <c r="N31" s="460"/>
      <c r="O31" s="462"/>
      <c r="P31" s="465">
        <f>'Nominal retained catches'!O28</f>
        <v>10965</v>
      </c>
      <c r="Q31" s="463">
        <f t="shared" si="10"/>
        <v>10965</v>
      </c>
      <c r="R31" s="477"/>
      <c r="S31" s="464">
        <f t="shared" si="7"/>
        <v>0</v>
      </c>
      <c r="T31" s="463">
        <f>0</f>
        <v>0</v>
      </c>
      <c r="U31" s="480">
        <v>0</v>
      </c>
      <c r="V31" s="7"/>
    </row>
    <row r="32" spans="2:22" s="13" customFormat="1" x14ac:dyDescent="0.25">
      <c r="B32" s="6"/>
      <c r="C32" s="150" t="str">
        <f>'Nominal retained catches'!B29</f>
        <v>SYC</v>
      </c>
      <c r="D32" s="16" t="str">
        <f>'Nominal retained catches'!D29</f>
        <v>DG, S, C</v>
      </c>
      <c r="E32" s="152">
        <f>'21-01 base annual limits'!O32</f>
        <v>39576.914230164366</v>
      </c>
      <c r="F32" s="155">
        <f>'19-01 catch, overcatch, limits'!I12+'19-01 catch, overcatch, limits'!I17</f>
        <v>0</v>
      </c>
      <c r="G32" s="156">
        <f>'19-01 catch, overcatch, limits'!L12+'19-01 catch, overcatch, limits'!L17</f>
        <v>0</v>
      </c>
      <c r="H32" s="461">
        <f>'Nominal retained catches'!L29</f>
        <v>34100.369755769098</v>
      </c>
      <c r="I32" s="145">
        <f t="shared" si="4"/>
        <v>39576.914230164366</v>
      </c>
      <c r="J32" s="133">
        <f>'Nominal retained catches'!M29</f>
        <v>35958.691000526203</v>
      </c>
      <c r="K32" s="159">
        <f>IF(J32&gt;I32,J32-I32,0)</f>
        <v>0</v>
      </c>
      <c r="L32" s="470">
        <f t="shared" si="9"/>
        <v>39576.914230164366</v>
      </c>
      <c r="M32" s="133">
        <f>'Nominal retained catches'!N29</f>
        <v>34066.271082259002</v>
      </c>
      <c r="N32" s="159">
        <f>IF(M32&gt;L32,M32-L32,0)</f>
        <v>0</v>
      </c>
      <c r="O32" s="467">
        <f t="shared" si="5"/>
        <v>39576.914230164366</v>
      </c>
      <c r="P32" s="464">
        <f>'Nominal retained catches'!O29</f>
        <v>37194.319411516197</v>
      </c>
      <c r="Q32" s="159">
        <f t="shared" si="10"/>
        <v>0</v>
      </c>
      <c r="R32" s="208">
        <f t="shared" ref="R32:R37" si="11">E32-N32/2-Q32/2</f>
        <v>39576.914230164366</v>
      </c>
      <c r="S32" s="464">
        <f t="shared" si="7"/>
        <v>39576.914230164366</v>
      </c>
      <c r="T32" s="159">
        <f>0</f>
        <v>0</v>
      </c>
      <c r="U32" s="482">
        <f t="shared" si="8"/>
        <v>39576.914230164366</v>
      </c>
      <c r="V32" s="7"/>
    </row>
    <row r="33" spans="2:22" s="13" customFormat="1" x14ac:dyDescent="0.25">
      <c r="B33" s="6"/>
      <c r="C33" s="150" t="str">
        <f>'Nominal retained catches'!B30</f>
        <v>THA</v>
      </c>
      <c r="D33" s="16" t="str">
        <f>'Nominal retained catches'!D30</f>
        <v>DG, C</v>
      </c>
      <c r="E33" s="152">
        <f>'21-01 base annual limits'!O33</f>
        <v>2000</v>
      </c>
      <c r="F33" s="155">
        <v>0</v>
      </c>
      <c r="G33" s="156">
        <v>0</v>
      </c>
      <c r="H33" s="461">
        <f>'Nominal retained catches'!L30</f>
        <v>1</v>
      </c>
      <c r="I33" s="145">
        <f t="shared" si="4"/>
        <v>2000</v>
      </c>
      <c r="J33" s="133">
        <f>'Nominal retained catches'!M30</f>
        <v>6</v>
      </c>
      <c r="K33" s="159">
        <f>IF(J33&gt;I33,J33-I33,0)</f>
        <v>0</v>
      </c>
      <c r="L33" s="470">
        <f>E33-F33/2 - G33/2-K33/2</f>
        <v>2000</v>
      </c>
      <c r="M33" s="133">
        <f>'Nominal retained catches'!N30</f>
        <v>37</v>
      </c>
      <c r="N33" s="159">
        <f>IF(M33&gt;L33,M33-L33,0)</f>
        <v>0</v>
      </c>
      <c r="O33" s="467">
        <f>E33-K33/2-N33/2</f>
        <v>2000</v>
      </c>
      <c r="P33" s="464">
        <f>'Nominal retained catches'!O30</f>
        <v>15</v>
      </c>
      <c r="Q33" s="285">
        <f t="shared" si="10"/>
        <v>0</v>
      </c>
      <c r="R33" s="208">
        <f t="shared" si="11"/>
        <v>2000</v>
      </c>
      <c r="S33" s="464">
        <f t="shared" si="7"/>
        <v>2000</v>
      </c>
      <c r="T33" s="159">
        <f>0</f>
        <v>0</v>
      </c>
      <c r="U33" s="482">
        <f>E33 - Q33/2 - T33/2</f>
        <v>2000</v>
      </c>
      <c r="V33" s="7"/>
    </row>
    <row r="34" spans="2:22" s="13" customFormat="1" x14ac:dyDescent="0.25">
      <c r="B34" s="6"/>
      <c r="C34" s="150" t="str">
        <f>'Nominal retained catches'!B31</f>
        <v>TWN</v>
      </c>
      <c r="D34" s="16" t="str">
        <f>'Nominal retained catches'!D31</f>
        <v>DG, DW</v>
      </c>
      <c r="E34" s="152">
        <f>'21-01 base annual limits'!O34</f>
        <v>10688.195397720325</v>
      </c>
      <c r="F34" s="155">
        <v>0</v>
      </c>
      <c r="G34" s="156">
        <v>0</v>
      </c>
      <c r="H34" s="461">
        <f>'Nominal retained catches'!L31</f>
        <v>9867.6401062011701</v>
      </c>
      <c r="I34" s="145">
        <f t="shared" si="4"/>
        <v>10688.195397720325</v>
      </c>
      <c r="J34" s="133">
        <f>'Nominal retained catches'!M31</f>
        <v>10170.3004722595</v>
      </c>
      <c r="K34" s="159"/>
      <c r="L34" s="470">
        <f>E34-F34/2 - G34/2-K34/2</f>
        <v>10688.195397720325</v>
      </c>
      <c r="M34" s="133"/>
      <c r="N34" s="159"/>
      <c r="O34" s="467">
        <f>E34-K34/2-N34/2</f>
        <v>10688.195397720325</v>
      </c>
      <c r="P34" s="464">
        <f>'Nominal retained catches'!O31</f>
        <v>9446.5700721740704</v>
      </c>
      <c r="Q34" s="285">
        <f t="shared" si="10"/>
        <v>0</v>
      </c>
      <c r="R34" s="208">
        <f t="shared" si="11"/>
        <v>10688.195397720325</v>
      </c>
      <c r="S34" s="464">
        <f t="shared" si="7"/>
        <v>10688.195397720325</v>
      </c>
      <c r="T34" s="159">
        <f>0</f>
        <v>0</v>
      </c>
      <c r="U34" s="482">
        <f>E34 - Q34/2 - T34/2</f>
        <v>10688.195397720325</v>
      </c>
      <c r="V34" s="7"/>
    </row>
    <row r="35" spans="2:22" s="13" customFormat="1" x14ac:dyDescent="0.25">
      <c r="B35" s="6"/>
      <c r="C35" s="150" t="str">
        <f>'Nominal retained catches'!B32</f>
        <v>TZA</v>
      </c>
      <c r="D35" s="16" t="str">
        <f>'Nominal retained catches'!D32</f>
        <v>LD, C</v>
      </c>
      <c r="E35" s="152">
        <f>'21-01 base annual limits'!O35</f>
        <v>3904.6287920475002</v>
      </c>
      <c r="F35" s="155">
        <v>0</v>
      </c>
      <c r="G35" s="156">
        <v>0</v>
      </c>
      <c r="H35" s="461">
        <f>'Nominal retained catches'!L32</f>
        <v>3907.1617920398699</v>
      </c>
      <c r="I35" s="145">
        <f t="shared" si="4"/>
        <v>3904.6287920475002</v>
      </c>
      <c r="J35" s="133">
        <f>'Nominal retained catches'!M32</f>
        <v>3467.7939949035599</v>
      </c>
      <c r="K35" s="159">
        <f>IF(J35&gt;I35,J35-I35,0)</f>
        <v>0</v>
      </c>
      <c r="L35" s="470">
        <f t="shared" si="9"/>
        <v>3904.6287920475002</v>
      </c>
      <c r="M35" s="133">
        <f>'Nominal retained catches'!N32</f>
        <v>3314.05006027222</v>
      </c>
      <c r="N35" s="159">
        <f>IF(M35&gt;L35,M35-L35,0)</f>
        <v>0</v>
      </c>
      <c r="O35" s="467">
        <f t="shared" si="5"/>
        <v>3904.6287920475002</v>
      </c>
      <c r="P35" s="464">
        <f>'Nominal retained catches'!O32</f>
        <v>3969.48000335693</v>
      </c>
      <c r="Q35" s="159">
        <f t="shared" si="10"/>
        <v>64.8512113094298</v>
      </c>
      <c r="R35" s="208">
        <f t="shared" si="11"/>
        <v>3872.203186392785</v>
      </c>
      <c r="S35" s="464">
        <f t="shared" si="7"/>
        <v>3872.203186392785</v>
      </c>
      <c r="T35" s="159">
        <f>0</f>
        <v>0</v>
      </c>
      <c r="U35" s="482">
        <f t="shared" si="8"/>
        <v>3872.203186392785</v>
      </c>
      <c r="V35" s="7"/>
    </row>
    <row r="36" spans="2:22" s="13" customFormat="1" x14ac:dyDescent="0.25">
      <c r="B36" s="6"/>
      <c r="C36" s="150" t="str">
        <f>'Nominal retained catches'!B33</f>
        <v>YEM</v>
      </c>
      <c r="D36" s="16" t="str">
        <f>'Nominal retained catches'!D33</f>
        <v>LD, C</v>
      </c>
      <c r="E36" s="152">
        <f>'21-01 base annual limits'!O36</f>
        <v>26262.3603515625</v>
      </c>
      <c r="F36" s="155">
        <v>0</v>
      </c>
      <c r="G36" s="156">
        <v>0</v>
      </c>
      <c r="H36" s="461">
        <f>'Nominal retained catches'!L33</f>
        <v>16656.603658805299</v>
      </c>
      <c r="I36" s="145">
        <f t="shared" si="4"/>
        <v>26262.3603515625</v>
      </c>
      <c r="J36" s="133">
        <f>'Nominal retained catches'!M33</f>
        <v>22731.910676097701</v>
      </c>
      <c r="K36" s="159">
        <f>IF(J36&gt;I36,J36-I36,0)</f>
        <v>0</v>
      </c>
      <c r="L36" s="470">
        <f t="shared" si="9"/>
        <v>26262.3603515625</v>
      </c>
      <c r="M36" s="133">
        <f>'Nominal retained catches'!N33</f>
        <v>37839.056488150003</v>
      </c>
      <c r="N36" s="159">
        <f>IF(M36&gt;L36,M36-L36,0)</f>
        <v>11576.696136587503</v>
      </c>
      <c r="O36" s="208">
        <f t="shared" si="5"/>
        <v>20474.012283268748</v>
      </c>
      <c r="P36" s="464">
        <f>'Nominal retained catches'!O33</f>
        <v>39470.508900357898</v>
      </c>
      <c r="Q36" s="159">
        <f t="shared" si="10"/>
        <v>18996.496617089149</v>
      </c>
      <c r="R36" s="471">
        <f t="shared" si="11"/>
        <v>10975.763974724174</v>
      </c>
      <c r="S36" s="133">
        <f t="shared" si="7"/>
        <v>10975.763974724174</v>
      </c>
      <c r="T36" s="159">
        <f>0</f>
        <v>0</v>
      </c>
      <c r="U36" s="482">
        <f t="shared" si="8"/>
        <v>16764.112043017925</v>
      </c>
      <c r="V36" s="7"/>
    </row>
    <row r="37" spans="2:22" s="13" customFormat="1" ht="15.75" thickBot="1" x14ac:dyDescent="0.3">
      <c r="B37" s="6"/>
      <c r="C37" s="175" t="str">
        <f>'Nominal retained catches'!B34</f>
        <v>ZAF</v>
      </c>
      <c r="D37" s="176" t="str">
        <f>'Nominal retained catches'!D34</f>
        <v>DG, C</v>
      </c>
      <c r="E37" s="177">
        <f>'21-01 base annual limits'!O37</f>
        <v>2000</v>
      </c>
      <c r="F37" s="157">
        <v>0</v>
      </c>
      <c r="G37" s="158">
        <v>0</v>
      </c>
      <c r="H37" s="219">
        <f>'Nominal retained catches'!L34</f>
        <v>307.57000732421898</v>
      </c>
      <c r="I37" s="146">
        <f t="shared" si="4"/>
        <v>2000</v>
      </c>
      <c r="J37" s="134">
        <f>'Nominal retained catches'!M34</f>
        <v>329.07534790039102</v>
      </c>
      <c r="K37" s="160">
        <f>IF(J37&gt;I37,J37-I37,0)</f>
        <v>0</v>
      </c>
      <c r="L37" s="470">
        <f t="shared" si="9"/>
        <v>2000</v>
      </c>
      <c r="M37" s="134">
        <f>'Nominal retained catches'!N34</f>
        <v>520.65002441406205</v>
      </c>
      <c r="N37" s="160">
        <f>IF(M37&gt;L37,M37-L37,0)</f>
        <v>0</v>
      </c>
      <c r="O37" s="468">
        <f t="shared" si="5"/>
        <v>2000</v>
      </c>
      <c r="P37" s="133">
        <f>'Nominal retained catches'!O34</f>
        <v>442.29998779296898</v>
      </c>
      <c r="Q37" s="159">
        <f t="shared" si="10"/>
        <v>0</v>
      </c>
      <c r="R37" s="286">
        <f t="shared" si="11"/>
        <v>2000</v>
      </c>
      <c r="S37" s="133">
        <f t="shared" si="7"/>
        <v>2000</v>
      </c>
      <c r="T37" s="159">
        <f>0</f>
        <v>0</v>
      </c>
      <c r="U37" s="478">
        <f t="shared" si="8"/>
        <v>2000</v>
      </c>
      <c r="V37" s="7"/>
    </row>
    <row r="38" spans="2:22" s="13" customFormat="1" ht="15.75" thickBot="1" x14ac:dyDescent="0.3">
      <c r="B38" s="8"/>
      <c r="C38" s="9"/>
      <c r="D38" s="9"/>
      <c r="E38" s="9"/>
      <c r="F38" s="9"/>
      <c r="G38" s="9"/>
      <c r="H38" s="9"/>
      <c r="I38" s="9"/>
      <c r="J38" s="9"/>
      <c r="K38" s="9"/>
      <c r="L38" s="284"/>
      <c r="M38" s="9"/>
      <c r="N38" s="9"/>
      <c r="O38" s="9"/>
      <c r="P38" s="9"/>
      <c r="Q38" s="9"/>
      <c r="R38" s="9"/>
      <c r="S38" s="9"/>
      <c r="T38" s="9"/>
      <c r="U38" s="9"/>
      <c r="V38" s="10"/>
    </row>
    <row r="39" spans="2:22" s="13" customFormat="1" x14ac:dyDescent="0.25">
      <c r="V39" s="4"/>
    </row>
    <row r="40" spans="2:22" s="13" customFormat="1" ht="15" customHeight="1" x14ac:dyDescent="0.25">
      <c r="C40" s="39" t="s">
        <v>55</v>
      </c>
      <c r="D40" s="14" t="s">
        <v>210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15"/>
      <c r="Q40" s="15"/>
    </row>
    <row r="41" spans="2:22" s="13" customFormat="1" ht="15" customHeight="1" x14ac:dyDescent="0.25">
      <c r="C41" s="135"/>
      <c r="D41" s="14" t="s">
        <v>125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15"/>
      <c r="Q41" s="15"/>
    </row>
    <row r="42" spans="2:22" s="13" customFormat="1" ht="7.5" customHeight="1" thickBot="1" x14ac:dyDescent="0.3">
      <c r="C42" s="136"/>
      <c r="D42" s="14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15"/>
      <c r="Q42" s="15"/>
    </row>
    <row r="43" spans="2:22" s="13" customFormat="1" ht="21" x14ac:dyDescent="0.35">
      <c r="B43" s="27" t="s">
        <v>43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/>
    </row>
    <row r="44" spans="2:22" s="13" customFormat="1" ht="90" customHeight="1" thickBot="1" x14ac:dyDescent="0.3">
      <c r="B44" s="580" t="s">
        <v>44</v>
      </c>
      <c r="C44" s="581"/>
      <c r="D44" s="581"/>
      <c r="E44" s="581"/>
      <c r="F44" s="581"/>
      <c r="G44" s="581"/>
      <c r="H44" s="581"/>
      <c r="I44" s="581"/>
      <c r="J44" s="581"/>
      <c r="K44" s="581"/>
      <c r="L44" s="581"/>
      <c r="M44" s="581"/>
      <c r="N44" s="581"/>
      <c r="O44" s="581"/>
      <c r="P44" s="582"/>
    </row>
    <row r="48" spans="2:22" s="13" customFormat="1" x14ac:dyDescent="0.25"/>
    <row r="49" s="13" customFormat="1" x14ac:dyDescent="0.25"/>
    <row r="50" s="13" customFormat="1" x14ac:dyDescent="0.25"/>
    <row r="51" s="13" customFormat="1" x14ac:dyDescent="0.25"/>
    <row r="52" s="13" customFormat="1" x14ac:dyDescent="0.25"/>
    <row r="53" s="13" customFormat="1" x14ac:dyDescent="0.25"/>
    <row r="54" s="13" customFormat="1" x14ac:dyDescent="0.25"/>
    <row r="55" s="13" customFormat="1" x14ac:dyDescent="0.25"/>
  </sheetData>
  <mergeCells count="16">
    <mergeCell ref="B44:P44"/>
    <mergeCell ref="L5:N5"/>
    <mergeCell ref="O5:Q5"/>
    <mergeCell ref="J6:J7"/>
    <mergeCell ref="M6:M7"/>
    <mergeCell ref="R5:T5"/>
    <mergeCell ref="B2:S2"/>
    <mergeCell ref="C6:C7"/>
    <mergeCell ref="H6:H7"/>
    <mergeCell ref="G6:G7"/>
    <mergeCell ref="F6:F7"/>
    <mergeCell ref="E5:E7"/>
    <mergeCell ref="D6:D7"/>
    <mergeCell ref="C5:D5"/>
    <mergeCell ref="F5:G5"/>
    <mergeCell ref="I5:K5"/>
  </mergeCells>
  <conditionalFormatting sqref="H8:H15 H18:H21 H23:H26 H28:H30 H32:H37">
    <cfRule type="expression" priority="99" stopIfTrue="1">
      <formula>H8=0</formula>
    </cfRule>
    <cfRule type="expression" dxfId="27" priority="100" stopIfTrue="1">
      <formula>H8&lt;2000</formula>
    </cfRule>
    <cfRule type="expression" dxfId="26" priority="101" stopIfTrue="1">
      <formula>H8&lt;5000</formula>
    </cfRule>
    <cfRule type="expression" dxfId="25" priority="102" stopIfTrue="1">
      <formula>H8&gt;=5000</formula>
    </cfRule>
  </conditionalFormatting>
  <conditionalFormatting sqref="I8:I37 L8:L37">
    <cfRule type="expression" dxfId="24" priority="66">
      <formula>I8&lt;0</formula>
    </cfRule>
  </conditionalFormatting>
  <conditionalFormatting sqref="I8:I37">
    <cfRule type="expression" dxfId="23" priority="85">
      <formula>I8&lt;&gt;E8</formula>
    </cfRule>
  </conditionalFormatting>
  <conditionalFormatting sqref="I15">
    <cfRule type="expression" dxfId="22" priority="18">
      <formula>I15&lt;&gt;XFC15</formula>
    </cfRule>
  </conditionalFormatting>
  <conditionalFormatting sqref="I15:I17">
    <cfRule type="expression" dxfId="21" priority="16">
      <formula>I15&lt;&gt;XFB15</formula>
    </cfRule>
  </conditionalFormatting>
  <conditionalFormatting sqref="I22 I25 I27:I28 I31">
    <cfRule type="expression" dxfId="20" priority="73">
      <formula>I22&lt;&gt;XFB22</formula>
    </cfRule>
  </conditionalFormatting>
  <conditionalFormatting sqref="L8:L37">
    <cfRule type="expression" dxfId="19" priority="86">
      <formula>L8&lt;&gt;E8</formula>
    </cfRule>
  </conditionalFormatting>
  <conditionalFormatting sqref="L15">
    <cfRule type="expression" dxfId="18" priority="1">
      <formula>L15&lt;&gt;A15</formula>
    </cfRule>
    <cfRule type="expression" dxfId="17" priority="5">
      <formula>L15&lt;&gt;H15</formula>
    </cfRule>
  </conditionalFormatting>
  <conditionalFormatting sqref="L15:L17">
    <cfRule type="expression" dxfId="16" priority="3">
      <formula>L15&lt;&gt;B15</formula>
    </cfRule>
  </conditionalFormatting>
  <conditionalFormatting sqref="L22">
    <cfRule type="expression" dxfId="15" priority="79">
      <formula>L22&lt;&gt;B22</formula>
    </cfRule>
  </conditionalFormatting>
  <conditionalFormatting sqref="L27">
    <cfRule type="expression" dxfId="14" priority="77">
      <formula>L27&lt;&gt;B27</formula>
    </cfRule>
  </conditionalFormatting>
  <conditionalFormatting sqref="L31">
    <cfRule type="expression" dxfId="13" priority="75">
      <formula>L31&lt;&gt;B31</formula>
    </cfRule>
  </conditionalFormatting>
  <conditionalFormatting sqref="O8:O37">
    <cfRule type="expression" dxfId="12" priority="8">
      <formula>O8&lt;&gt;E8</formula>
    </cfRule>
    <cfRule type="expression" dxfId="11" priority="9">
      <formula>O8&lt;0</formula>
    </cfRule>
  </conditionalFormatting>
  <conditionalFormatting sqref="O15">
    <cfRule type="expression" dxfId="10" priority="6">
      <formula>O15&lt;&gt;D15</formula>
    </cfRule>
    <cfRule type="expression" dxfId="9" priority="11">
      <formula>O15&lt;&gt;K15</formula>
    </cfRule>
  </conditionalFormatting>
  <conditionalFormatting sqref="R8:R37">
    <cfRule type="expression" dxfId="8" priority="62">
      <formula>R8&lt;0</formula>
    </cfRule>
    <cfRule type="expression" dxfId="7" priority="63">
      <formula>R8&lt;&gt;E8</formula>
    </cfRule>
  </conditionalFormatting>
  <conditionalFormatting sqref="U8:U15 U18:U21 U23:U26 U28:U37">
    <cfRule type="expression" dxfId="6" priority="19">
      <formula>U8&lt;0</formula>
    </cfRule>
    <cfRule type="expression" dxfId="5" priority="20">
      <formula>U8&lt;&gt;H8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5E700-0AB4-409B-B547-06523701C8D1}">
  <dimension ref="A1:O42"/>
  <sheetViews>
    <sheetView zoomScale="85" zoomScaleNormal="85" workbookViewId="0">
      <selection activeCell="U19" sqref="U19"/>
    </sheetView>
  </sheetViews>
  <sheetFormatPr defaultRowHeight="15" x14ac:dyDescent="0.25"/>
  <cols>
    <col min="1" max="2" width="2.85546875" customWidth="1"/>
    <col min="5" max="5" width="11.7109375" customWidth="1"/>
    <col min="6" max="6" width="16.85546875" customWidth="1"/>
    <col min="7" max="11" width="11.42578125" customWidth="1"/>
    <col min="12" max="13" width="11.28515625" customWidth="1"/>
    <col min="14" max="14" width="12.85546875" customWidth="1"/>
    <col min="15" max="15" width="2.85546875" customWidth="1"/>
  </cols>
  <sheetData>
    <row r="1" spans="1:15" ht="15.75" thickBot="1" x14ac:dyDescent="0.3"/>
    <row r="2" spans="1:15" ht="24" thickBot="1" x14ac:dyDescent="0.3">
      <c r="B2" s="596" t="s">
        <v>252</v>
      </c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1"/>
    </row>
    <row r="3" spans="1:15" ht="15.75" thickBot="1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15.75" thickBot="1" x14ac:dyDescent="0.3">
      <c r="A4" s="1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spans="1:15" ht="15.75" x14ac:dyDescent="0.25">
      <c r="A5" s="13"/>
      <c r="B5" s="6"/>
      <c r="C5" s="640" t="s">
        <v>273</v>
      </c>
      <c r="D5" s="641"/>
      <c r="E5" s="642"/>
      <c r="F5" s="643" t="s">
        <v>139</v>
      </c>
      <c r="G5" s="652" t="s">
        <v>138</v>
      </c>
      <c r="H5" s="653"/>
      <c r="I5" s="654"/>
      <c r="J5" s="700" t="s">
        <v>168</v>
      </c>
      <c r="K5" s="701"/>
      <c r="L5" s="701"/>
      <c r="M5" s="701"/>
      <c r="N5" s="702"/>
      <c r="O5" s="7"/>
    </row>
    <row r="6" spans="1:15" x14ac:dyDescent="0.25">
      <c r="A6" s="13"/>
      <c r="B6" s="6"/>
      <c r="C6" s="632" t="s">
        <v>61</v>
      </c>
      <c r="D6" s="634" t="s">
        <v>54</v>
      </c>
      <c r="E6" s="648" t="s">
        <v>217</v>
      </c>
      <c r="F6" s="644"/>
      <c r="G6" s="655">
        <v>2022</v>
      </c>
      <c r="H6" s="646">
        <v>2023</v>
      </c>
      <c r="I6" s="698">
        <v>2024</v>
      </c>
      <c r="J6" s="638">
        <v>2022</v>
      </c>
      <c r="K6" s="636">
        <v>2023</v>
      </c>
      <c r="L6" s="636">
        <v>2024</v>
      </c>
      <c r="M6" s="664">
        <v>2025</v>
      </c>
      <c r="N6" s="662" t="s">
        <v>264</v>
      </c>
      <c r="O6" s="7"/>
    </row>
    <row r="7" spans="1:15" ht="15.75" thickBot="1" x14ac:dyDescent="0.3">
      <c r="A7" s="13"/>
      <c r="B7" s="6"/>
      <c r="C7" s="633"/>
      <c r="D7" s="635"/>
      <c r="E7" s="649"/>
      <c r="F7" s="645"/>
      <c r="G7" s="656"/>
      <c r="H7" s="661"/>
      <c r="I7" s="699"/>
      <c r="J7" s="639"/>
      <c r="K7" s="637"/>
      <c r="L7" s="637"/>
      <c r="M7" s="664"/>
      <c r="N7" s="588"/>
      <c r="O7" s="7"/>
    </row>
    <row r="8" spans="1:15" x14ac:dyDescent="0.25">
      <c r="B8" s="23"/>
      <c r="C8" s="279" t="s">
        <v>17</v>
      </c>
      <c r="D8" s="41" t="s">
        <v>69</v>
      </c>
      <c r="E8" s="695" t="s">
        <v>134</v>
      </c>
      <c r="F8" s="339">
        <f>'21-01 base annual limits'!O8</f>
        <v>2000</v>
      </c>
      <c r="G8" s="338">
        <f>'Nominal retained catches'!M5</f>
        <v>17.215044633189901</v>
      </c>
      <c r="H8" s="338">
        <f>'Nominal retained catches'!N5</f>
        <v>47.642204177804302</v>
      </c>
      <c r="I8" s="496">
        <f>'Nominal retained catches'!O5</f>
        <v>35.652233367859999</v>
      </c>
      <c r="J8" s="499">
        <f>'21-01 catch, overcatch, limits'!I8</f>
        <v>2000</v>
      </c>
      <c r="K8" s="228">
        <f>'21-01 catch, overcatch, limits'!L8</f>
        <v>2000</v>
      </c>
      <c r="L8" s="373">
        <f>'21-01 catch, overcatch, limits'!O8</f>
        <v>2000</v>
      </c>
      <c r="M8" s="506">
        <f>'21-01 catch, overcatch, limits'!R8</f>
        <v>2000</v>
      </c>
      <c r="N8" s="229">
        <f>'21-01 catch, overcatch, limits'!U8</f>
        <v>2000</v>
      </c>
      <c r="O8" s="24"/>
    </row>
    <row r="9" spans="1:15" x14ac:dyDescent="0.25">
      <c r="A9" s="13"/>
      <c r="B9" s="6"/>
      <c r="C9" s="280" t="s">
        <v>19</v>
      </c>
      <c r="D9" s="12" t="s">
        <v>67</v>
      </c>
      <c r="E9" s="696"/>
      <c r="F9" s="340">
        <f>'21-01 base annual limits'!O9</f>
        <v>2000</v>
      </c>
      <c r="G9" s="338">
        <f>'Nominal retained catches'!M6</f>
        <v>35.574146270752003</v>
      </c>
      <c r="H9" s="338">
        <f>'Nominal retained catches'!N6</f>
        <v>0</v>
      </c>
      <c r="I9" s="496">
        <f>'Nominal retained catches'!O6</f>
        <v>0</v>
      </c>
      <c r="J9" s="500">
        <f>'21-01 catch, overcatch, limits'!I9</f>
        <v>2000</v>
      </c>
      <c r="K9" s="221">
        <f>'21-01 catch, overcatch, limits'!L9</f>
        <v>2000</v>
      </c>
      <c r="L9" s="374">
        <f>'21-01 catch, overcatch, limits'!O9</f>
        <v>2000</v>
      </c>
      <c r="M9" s="221">
        <f>'21-01 catch, overcatch, limits'!R9</f>
        <v>2000</v>
      </c>
      <c r="N9" s="507">
        <f>'21-01 catch, overcatch, limits'!U9</f>
        <v>2000</v>
      </c>
      <c r="O9" s="7"/>
    </row>
    <row r="10" spans="1:15" x14ac:dyDescent="0.25">
      <c r="A10" s="13"/>
      <c r="B10" s="6"/>
      <c r="C10" s="280" t="s">
        <v>0</v>
      </c>
      <c r="D10" s="12" t="s">
        <v>64</v>
      </c>
      <c r="E10" s="696"/>
      <c r="F10" s="340">
        <f>'21-01 base annual limits'!O10</f>
        <v>4641.2020263671902</v>
      </c>
      <c r="G10" s="338">
        <f>'Nominal retained catches'!M7</f>
        <v>3676.3511264324202</v>
      </c>
      <c r="H10" s="338">
        <f>'Nominal retained catches'!N7</f>
        <v>4297.2371063232404</v>
      </c>
      <c r="I10" s="496">
        <f>'Nominal retained catches'!O7</f>
        <v>4468.72998046875</v>
      </c>
      <c r="J10" s="147">
        <f>'21-01 catch, overcatch, limits'!I10</f>
        <v>4641.2020263671902</v>
      </c>
      <c r="K10" s="221">
        <f>'21-01 catch, overcatch, limits'!L10</f>
        <v>4641.2020263671902</v>
      </c>
      <c r="L10" s="374">
        <f>'21-01 catch, overcatch, limits'!O10</f>
        <v>4641.2020263671902</v>
      </c>
      <c r="M10" s="509">
        <f>'21-01 catch, overcatch, limits'!R10</f>
        <v>4641.2020263671902</v>
      </c>
      <c r="N10" s="510">
        <f>'21-01 catch, overcatch, limits'!U10</f>
        <v>4641.2020263671902</v>
      </c>
      <c r="O10" s="7"/>
    </row>
    <row r="11" spans="1:15" x14ac:dyDescent="0.25">
      <c r="A11" s="13"/>
      <c r="B11" s="6"/>
      <c r="C11" s="280" t="s">
        <v>12</v>
      </c>
      <c r="D11" s="12" t="s">
        <v>70</v>
      </c>
      <c r="E11" s="696"/>
      <c r="F11" s="340">
        <f>'21-01 base annual limits'!O11</f>
        <v>5279.2092437744104</v>
      </c>
      <c r="G11" s="338">
        <f>'Nominal retained catches'!M8</f>
        <v>4426.91503143311</v>
      </c>
      <c r="H11" s="338">
        <f>'Nominal retained catches'!N8</f>
        <v>3193.8279571533199</v>
      </c>
      <c r="I11" s="496">
        <f>'Nominal retained catches'!O8</f>
        <v>5052.4344196319598</v>
      </c>
      <c r="J11" s="147">
        <f>'21-01 catch, overcatch, limits'!I11</f>
        <v>5279.2092437744104</v>
      </c>
      <c r="K11" s="221">
        <f>'21-01 catch, overcatch, limits'!L11</f>
        <v>5279.2092437744104</v>
      </c>
      <c r="L11" s="374">
        <f>'21-01 catch, overcatch, limits'!O11</f>
        <v>5279.2092437744104</v>
      </c>
      <c r="M11" s="511">
        <f>'21-01 catch, overcatch, limits'!R11</f>
        <v>5279.2092437744104</v>
      </c>
      <c r="N11" s="510">
        <f>'21-01 catch, overcatch, limits'!U11</f>
        <v>5279.2092437744104</v>
      </c>
      <c r="O11" s="7"/>
    </row>
    <row r="12" spans="1:15" x14ac:dyDescent="0.25">
      <c r="A12" s="13"/>
      <c r="B12" s="6"/>
      <c r="C12" s="280" t="s">
        <v>234</v>
      </c>
      <c r="D12" s="12" t="s">
        <v>69</v>
      </c>
      <c r="E12" s="696"/>
      <c r="F12" s="340">
        <f>'21-01 base annual limits'!O12</f>
        <v>73078.282360134108</v>
      </c>
      <c r="G12" s="338">
        <f>'Nominal retained catches'!M9</f>
        <v>69058.296926855997</v>
      </c>
      <c r="H12" s="338">
        <f>'Nominal retained catches'!N9</f>
        <v>62653.400647677503</v>
      </c>
      <c r="I12" s="496">
        <f>'Nominal retained catches'!O9</f>
        <v>71561.064461748203</v>
      </c>
      <c r="J12" s="459">
        <f>'21-01 catch, overcatch, limits'!I12</f>
        <v>71567.037632808642</v>
      </c>
      <c r="K12" s="221">
        <f>'21-01 catch, overcatch, limits'!L12</f>
        <v>71567.037632808642</v>
      </c>
      <c r="L12" s="374">
        <f>'21-01 catch, overcatch, limits'!O12</f>
        <v>73078.282360134108</v>
      </c>
      <c r="M12" s="511">
        <f>'21-01 catch, overcatch, limits'!R12</f>
        <v>73078.282360134108</v>
      </c>
      <c r="N12" s="510">
        <f>'21-01 catch, overcatch, limits'!U12</f>
        <v>73078.282360134108</v>
      </c>
      <c r="O12" s="7"/>
    </row>
    <row r="13" spans="1:15" x14ac:dyDescent="0.25">
      <c r="A13" s="13"/>
      <c r="B13" s="6"/>
      <c r="C13" s="280" t="s">
        <v>20</v>
      </c>
      <c r="D13" s="12" t="s">
        <v>69</v>
      </c>
      <c r="E13" s="696"/>
      <c r="F13" s="340">
        <f>'21-01 base annual limits'!O13</f>
        <v>500</v>
      </c>
      <c r="G13" s="338">
        <f>'Nominal retained catches'!M10</f>
        <v>0</v>
      </c>
      <c r="H13" s="338">
        <f>'Nominal retained catches'!N10</f>
        <v>0</v>
      </c>
      <c r="I13" s="496">
        <f>'Nominal retained catches'!O10</f>
        <v>0</v>
      </c>
      <c r="J13" s="500">
        <f>'21-01 catch, overcatch, limits'!I13</f>
        <v>500</v>
      </c>
      <c r="K13" s="221">
        <f>'21-01 catch, overcatch, limits'!L13</f>
        <v>500</v>
      </c>
      <c r="L13" s="374">
        <f>'21-01 catch, overcatch, limits'!O13</f>
        <v>500</v>
      </c>
      <c r="M13" s="511">
        <f>'21-01 catch, overcatch, limits'!R13</f>
        <v>500</v>
      </c>
      <c r="N13" s="510">
        <f>'21-01 catch, overcatch, limits'!U13</f>
        <v>500</v>
      </c>
      <c r="O13" s="7"/>
    </row>
    <row r="14" spans="1:15" x14ac:dyDescent="0.25">
      <c r="A14" s="13"/>
      <c r="B14" s="6"/>
      <c r="C14" s="280" t="s">
        <v>21</v>
      </c>
      <c r="D14" s="12" t="s">
        <v>65</v>
      </c>
      <c r="E14" s="696"/>
      <c r="F14" s="340">
        <f>'21-01 base annual limits'!O14</f>
        <v>500</v>
      </c>
      <c r="G14" s="338">
        <f>'Nominal retained catches'!M11</f>
        <v>1.6009562015533401</v>
      </c>
      <c r="H14" s="338">
        <f>'Nominal retained catches'!N11</f>
        <v>1.2063014268690599</v>
      </c>
      <c r="I14" s="496">
        <f>'Nominal retained catches'!O11</f>
        <v>1.12943994998932</v>
      </c>
      <c r="J14" s="147">
        <f>'21-01 catch, overcatch, limits'!I14</f>
        <v>500</v>
      </c>
      <c r="K14" s="221">
        <f>'21-01 catch, overcatch, limits'!L14</f>
        <v>500</v>
      </c>
      <c r="L14" s="374">
        <f>'21-01 catch, overcatch, limits'!O14</f>
        <v>500</v>
      </c>
      <c r="M14" s="511">
        <f>'21-01 catch, overcatch, limits'!R14</f>
        <v>500</v>
      </c>
      <c r="N14" s="510">
        <f>'21-01 catch, overcatch, limits'!U14</f>
        <v>500</v>
      </c>
      <c r="O14" s="7"/>
    </row>
    <row r="15" spans="1:15" x14ac:dyDescent="0.25">
      <c r="A15" s="13"/>
      <c r="B15" s="6"/>
      <c r="C15" s="324" t="s">
        <v>157</v>
      </c>
      <c r="D15" s="12" t="s">
        <v>66</v>
      </c>
      <c r="E15" s="696"/>
      <c r="F15" s="340">
        <f>'21-01 base annual limits'!O15</f>
        <v>45426.377801513634</v>
      </c>
      <c r="G15" s="338">
        <f>'Nominal retained catches'!M12</f>
        <v>62986.766418457002</v>
      </c>
      <c r="H15" s="338">
        <f>'Nominal retained catches'!N12</f>
        <v>53460.176620483398</v>
      </c>
      <c r="I15" s="496">
        <f>'Nominal retained catches'!O12</f>
        <v>56114.030319213904</v>
      </c>
      <c r="J15" s="498" t="s">
        <v>101</v>
      </c>
      <c r="K15" s="498" t="s">
        <v>101</v>
      </c>
      <c r="L15" s="498" t="s">
        <v>101</v>
      </c>
      <c r="M15" s="221">
        <f>'21-01 catch, overcatch, limits'!R15</f>
        <v>45426.377801513634</v>
      </c>
      <c r="N15" s="230">
        <f>'21-01 catch, overcatch, limits'!U15</f>
        <v>45426.377801513634</v>
      </c>
      <c r="O15" s="7"/>
    </row>
    <row r="16" spans="1:15" ht="0.75" hidden="1" customHeight="1" x14ac:dyDescent="0.25">
      <c r="A16" s="13"/>
      <c r="B16" s="6"/>
      <c r="C16" s="325" t="s">
        <v>3</v>
      </c>
      <c r="D16" s="326"/>
      <c r="E16" s="696"/>
      <c r="F16" s="341"/>
      <c r="G16" s="338">
        <f>'Nominal retained catches'!M13</f>
        <v>20850.7520325482</v>
      </c>
      <c r="H16" s="338">
        <f>'Nominal retained catches'!N13</f>
        <v>21246.934996187701</v>
      </c>
      <c r="I16" s="496">
        <f>'Nominal retained catches'!O13</f>
        <v>31163</v>
      </c>
      <c r="J16" s="327"/>
      <c r="K16" s="328"/>
      <c r="L16" s="328"/>
      <c r="M16" s="501"/>
      <c r="N16" s="512"/>
      <c r="O16" s="287"/>
    </row>
    <row r="17" spans="1:15" hidden="1" x14ac:dyDescent="0.25">
      <c r="A17" s="13"/>
      <c r="B17" s="6"/>
      <c r="C17" s="281" t="s">
        <v>4</v>
      </c>
      <c r="D17" s="38"/>
      <c r="E17" s="696"/>
      <c r="F17" s="342"/>
      <c r="G17" s="338">
        <f>'Nominal retained catches'!M14</f>
        <v>38821.28125</v>
      </c>
      <c r="H17" s="338">
        <f>'Nominal retained catches'!N14</f>
        <v>37350.240234375</v>
      </c>
      <c r="I17" s="496">
        <f>'Nominal retained catches'!O14</f>
        <v>42531.001098632798</v>
      </c>
      <c r="J17" s="224"/>
      <c r="K17" s="225"/>
      <c r="L17" s="225"/>
      <c r="M17" s="502"/>
      <c r="N17" s="513"/>
      <c r="O17" s="287"/>
    </row>
    <row r="18" spans="1:15" x14ac:dyDescent="0.25">
      <c r="A18" s="13"/>
      <c r="B18" s="6"/>
      <c r="C18" s="280" t="s">
        <v>14</v>
      </c>
      <c r="D18" s="12" t="s">
        <v>65</v>
      </c>
      <c r="E18" s="696"/>
      <c r="F18" s="340">
        <f>'21-01 base annual limits'!O18</f>
        <v>4002.7001037597702</v>
      </c>
      <c r="G18" s="338">
        <f>'Nominal retained catches'!M15</f>
        <v>1372.8800354003899</v>
      </c>
      <c r="H18" s="338">
        <f>'Nominal retained catches'!N15</f>
        <v>2018.41003417969</v>
      </c>
      <c r="I18" s="496">
        <f>'Nominal retained catches'!O15</f>
        <v>2087.2999572753902</v>
      </c>
      <c r="J18" s="48">
        <f>'21-01 catch, overcatch, limits'!I18</f>
        <v>4002.7001037597702</v>
      </c>
      <c r="K18" s="48">
        <f>'21-01 catch, overcatch, limits'!L18</f>
        <v>4002.7001037597702</v>
      </c>
      <c r="L18" s="221">
        <f>'21-01 catch, overcatch, limits'!O18</f>
        <v>4002.7001037597702</v>
      </c>
      <c r="M18" s="503">
        <f>'21-01 catch, overcatch, limits'!R18</f>
        <v>4002.7001037597702</v>
      </c>
      <c r="N18" s="344">
        <f>'21-01 catch, overcatch, limits'!U18</f>
        <v>4002.7001037597702</v>
      </c>
      <c r="O18" s="7"/>
    </row>
    <row r="19" spans="1:15" x14ac:dyDescent="0.25">
      <c r="A19" s="13"/>
      <c r="B19" s="6"/>
      <c r="C19" s="280" t="s">
        <v>15</v>
      </c>
      <c r="D19" s="12" t="s">
        <v>66</v>
      </c>
      <c r="E19" s="696"/>
      <c r="F19" s="340">
        <f>'21-01 base annual limits'!O19</f>
        <v>3654.2361297607399</v>
      </c>
      <c r="G19" s="338">
        <f>'Nominal retained catches'!M16</f>
        <v>1958.48142623901</v>
      </c>
      <c r="H19" s="338">
        <f>'Nominal retained catches'!N16</f>
        <v>969.35087463838101</v>
      </c>
      <c r="I19" s="496">
        <f>'Nominal retained catches'!O16</f>
        <v>3638.97052717209</v>
      </c>
      <c r="J19" s="48">
        <f>'21-01 catch, overcatch, limits'!I19</f>
        <v>3654.2361297607399</v>
      </c>
      <c r="K19" s="48">
        <f>'21-01 catch, overcatch, limits'!L19</f>
        <v>3654.2361297607399</v>
      </c>
      <c r="L19" s="221">
        <f>'21-01 catch, overcatch, limits'!O19</f>
        <v>3654.2361297607399</v>
      </c>
      <c r="M19" s="503">
        <f>'21-01 catch, overcatch, limits'!R19</f>
        <v>3654.2361297607399</v>
      </c>
      <c r="N19" s="344">
        <f>'21-01 catch, overcatch, limits'!U19</f>
        <v>3654.2361297607399</v>
      </c>
      <c r="O19" s="7"/>
    </row>
    <row r="20" spans="1:15" x14ac:dyDescent="0.25">
      <c r="A20" s="13"/>
      <c r="B20" s="6"/>
      <c r="C20" s="280" t="s">
        <v>2</v>
      </c>
      <c r="D20" s="12" t="s">
        <v>64</v>
      </c>
      <c r="E20" s="696"/>
      <c r="F20" s="340">
        <f>'21-01 base annual limits'!O20</f>
        <v>9055.875470589237</v>
      </c>
      <c r="G20" s="338">
        <f>'Nominal retained catches'!M17</f>
        <v>4259</v>
      </c>
      <c r="H20" s="338">
        <f>'Nominal retained catches'!N17</f>
        <v>4616</v>
      </c>
      <c r="I20" s="496">
        <f>'Nominal retained catches'!O17</f>
        <v>3529.1400146484398</v>
      </c>
      <c r="J20" s="48">
        <f>'21-01 catch, overcatch, limits'!I20</f>
        <v>9055.875470589237</v>
      </c>
      <c r="K20" s="48">
        <f>'21-01 catch, overcatch, limits'!L20</f>
        <v>9055.875470589237</v>
      </c>
      <c r="L20" s="375">
        <f>'21-01 catch, overcatch, limits'!O20</f>
        <v>9055.875470589237</v>
      </c>
      <c r="M20" s="221">
        <f>'21-01 catch, overcatch, limits'!R20</f>
        <v>9055.875470589237</v>
      </c>
      <c r="N20" s="344">
        <f>'21-01 catch, overcatch, limits'!U20</f>
        <v>9055.875470589237</v>
      </c>
      <c r="O20" s="7"/>
    </row>
    <row r="21" spans="1:15" x14ac:dyDescent="0.25">
      <c r="A21" s="13"/>
      <c r="B21" s="6"/>
      <c r="C21" s="280" t="s">
        <v>5</v>
      </c>
      <c r="D21" s="12" t="s">
        <v>66</v>
      </c>
      <c r="E21" s="696"/>
      <c r="F21" s="340">
        <f>'21-01 base annual limits'!O21</f>
        <v>33244.812692372951</v>
      </c>
      <c r="G21" s="338">
        <f>'Nominal retained catches'!M18</f>
        <v>30038.3204142758</v>
      </c>
      <c r="H21" s="338">
        <f>'Nominal retained catches'!N18</f>
        <v>30310.189114246801</v>
      </c>
      <c r="I21" s="496">
        <f>'Nominal retained catches'!O18</f>
        <v>33303.399884223902</v>
      </c>
      <c r="J21" s="48">
        <f>'21-01 catch, overcatch, limits'!I21</f>
        <v>33244.812692372951</v>
      </c>
      <c r="K21" s="48">
        <f>'21-01 catch, overcatch, limits'!L21</f>
        <v>33244.812692372951</v>
      </c>
      <c r="L21" s="375">
        <f>'21-01 catch, overcatch, limits'!O21</f>
        <v>33244.812692372951</v>
      </c>
      <c r="M21" s="221">
        <f>'21-01 catch, overcatch, limits'!R21</f>
        <v>33215.519096447475</v>
      </c>
      <c r="N21" s="344">
        <f>'21-01 catch, overcatch, limits'!U21</f>
        <v>33215.519096447475</v>
      </c>
      <c r="O21" s="7"/>
    </row>
    <row r="22" spans="1:15" hidden="1" x14ac:dyDescent="0.25">
      <c r="A22" s="13"/>
      <c r="B22" s="6"/>
      <c r="C22" s="281" t="s">
        <v>22</v>
      </c>
      <c r="D22" s="38"/>
      <c r="E22" s="696"/>
      <c r="F22" s="342"/>
      <c r="G22" s="338">
        <f>'Nominal retained catches'!M19</f>
        <v>707.64325106008801</v>
      </c>
      <c r="H22" s="338">
        <f>'Nominal retained catches'!N19</f>
        <v>698.56999951397995</v>
      </c>
      <c r="I22" s="496">
        <f>'Nominal retained catches'!O19</f>
        <v>347.69699859619101</v>
      </c>
      <c r="J22" s="224"/>
      <c r="K22" s="225"/>
      <c r="L22" s="505"/>
      <c r="M22" s="225"/>
      <c r="N22" s="226"/>
      <c r="O22" s="7"/>
    </row>
    <row r="23" spans="1:15" x14ac:dyDescent="0.25">
      <c r="A23" s="13"/>
      <c r="B23" s="6"/>
      <c r="C23" s="280" t="s">
        <v>9</v>
      </c>
      <c r="D23" s="12" t="s">
        <v>68</v>
      </c>
      <c r="E23" s="696"/>
      <c r="F23" s="340">
        <f>'21-01 base annual limits'!O23</f>
        <v>47194.801020812971</v>
      </c>
      <c r="G23" s="338">
        <f>'Nominal retained catches'!M20</f>
        <v>28082.963220171601</v>
      </c>
      <c r="H23" s="338">
        <f>'Nominal retained catches'!N20</f>
        <v>30775.6651370525</v>
      </c>
      <c r="I23" s="496">
        <f>'Nominal retained catches'!O20</f>
        <v>26477.3200683594</v>
      </c>
      <c r="J23" s="48">
        <f>'21-01 catch, overcatch, limits'!I23</f>
        <v>47194.801020812971</v>
      </c>
      <c r="K23" s="48">
        <f>'21-01 catch, overcatch, limits'!L23</f>
        <v>47194.801020812971</v>
      </c>
      <c r="L23" s="375">
        <f>'21-01 catch, overcatch, limits'!O23</f>
        <v>47194.801020812971</v>
      </c>
      <c r="M23" s="221">
        <f>'21-01 catch, overcatch, limits'!R23</f>
        <v>47194.801020812971</v>
      </c>
      <c r="N23" s="344">
        <f>'21-01 catch, overcatch, limits'!U23</f>
        <v>47194.801020812971</v>
      </c>
      <c r="O23" s="7"/>
    </row>
    <row r="24" spans="1:15" x14ac:dyDescent="0.25">
      <c r="A24" s="13"/>
      <c r="B24" s="6"/>
      <c r="C24" s="280" t="s">
        <v>23</v>
      </c>
      <c r="D24" s="12" t="s">
        <v>67</v>
      </c>
      <c r="E24" s="696"/>
      <c r="F24" s="340">
        <f>'21-01 base annual limits'!O24</f>
        <v>2000</v>
      </c>
      <c r="G24" s="338">
        <f>'Nominal retained catches'!M21</f>
        <v>75.208999633789105</v>
      </c>
      <c r="H24" s="338">
        <f>'Nominal retained catches'!N21</f>
        <v>462</v>
      </c>
      <c r="I24" s="496">
        <f>'Nominal retained catches'!O21</f>
        <v>685</v>
      </c>
      <c r="J24" s="48">
        <f>'21-01 catch, overcatch, limits'!I24</f>
        <v>2000</v>
      </c>
      <c r="K24" s="48">
        <f>'21-01 catch, overcatch, limits'!L24</f>
        <v>2000</v>
      </c>
      <c r="L24" s="375">
        <f>'21-01 catch, overcatch, limits'!O24</f>
        <v>2000</v>
      </c>
      <c r="M24" s="221">
        <f>'21-01 catch, overcatch, limits'!R24</f>
        <v>2000</v>
      </c>
      <c r="N24" s="344">
        <f>'21-01 catch, overcatch, limits'!U24</f>
        <v>2000</v>
      </c>
      <c r="O24" s="7"/>
    </row>
    <row r="25" spans="1:15" x14ac:dyDescent="0.25">
      <c r="A25" s="13"/>
      <c r="B25" s="6"/>
      <c r="C25" s="280" t="s">
        <v>11</v>
      </c>
      <c r="D25" s="12" t="s">
        <v>68</v>
      </c>
      <c r="E25" s="696"/>
      <c r="F25" s="340">
        <f>'21-01 base annual limits'!O25</f>
        <v>10490.40706890744</v>
      </c>
      <c r="G25" s="338">
        <f>'Nominal retained catches'!M22</f>
        <v>11191.1886739731</v>
      </c>
      <c r="H25" s="338">
        <f>'Nominal retained catches'!N22</f>
        <v>9891.0398731231708</v>
      </c>
      <c r="I25" s="496">
        <f>'Nominal retained catches'!O22</f>
        <v>9823.0100404620207</v>
      </c>
      <c r="J25" s="48">
        <f>'21-01 catch, overcatch, limits'!I25</f>
        <v>10490.40706890744</v>
      </c>
      <c r="K25" s="48">
        <f>'21-01 catch, overcatch, limits'!L25</f>
        <v>10140.016266374609</v>
      </c>
      <c r="L25" s="375">
        <f>'21-01 catch, overcatch, limits'!O25</f>
        <v>10140.016266374609</v>
      </c>
      <c r="M25" s="221">
        <f>'21-01 catch, overcatch, limits'!R25</f>
        <v>10490.40706890744</v>
      </c>
      <c r="N25" s="344">
        <f>'21-01 catch, overcatch, limits'!U25</f>
        <v>10490.40706890744</v>
      </c>
      <c r="O25" s="7"/>
    </row>
    <row r="26" spans="1:15" x14ac:dyDescent="0.25">
      <c r="A26" s="13"/>
      <c r="B26" s="6"/>
      <c r="C26" s="280" t="s">
        <v>24</v>
      </c>
      <c r="D26" s="12" t="s">
        <v>66</v>
      </c>
      <c r="E26" s="696"/>
      <c r="F26" s="340">
        <f>'21-01 base annual limits'!O26</f>
        <v>2000</v>
      </c>
      <c r="G26" s="338">
        <f>'Nominal retained catches'!M23</f>
        <v>338.680995941162</v>
      </c>
      <c r="H26" s="338">
        <f>'Nominal retained catches'!N23</f>
        <v>716.009971618652</v>
      </c>
      <c r="I26" s="496">
        <f>'Nominal retained catches'!O23</f>
        <v>662.04998779296898</v>
      </c>
      <c r="J26" s="48">
        <f>'21-01 catch, overcatch, limits'!I26</f>
        <v>2000</v>
      </c>
      <c r="K26" s="48">
        <f>'21-01 catch, overcatch, limits'!L26</f>
        <v>2000</v>
      </c>
      <c r="L26" s="221">
        <f>'21-01 catch, overcatch, limits'!O26</f>
        <v>2000</v>
      </c>
      <c r="M26" s="221">
        <f>'21-01 catch, overcatch, limits'!R26</f>
        <v>2000</v>
      </c>
      <c r="N26" s="344">
        <f>'21-01 catch, overcatch, limits'!U26</f>
        <v>2000</v>
      </c>
      <c r="O26" s="7"/>
    </row>
    <row r="27" spans="1:15" hidden="1" x14ac:dyDescent="0.25">
      <c r="A27" s="13"/>
      <c r="B27" s="6"/>
      <c r="C27" s="281" t="s">
        <v>6</v>
      </c>
      <c r="D27" s="38"/>
      <c r="E27" s="696"/>
      <c r="F27" s="342"/>
      <c r="G27" s="338">
        <f>'Nominal retained catches'!M24</f>
        <v>77821.061553955107</v>
      </c>
      <c r="H27" s="338">
        <f>'Nominal retained catches'!N24</f>
        <v>70072.047027587905</v>
      </c>
      <c r="I27" s="496">
        <f>'Nominal retained catches'!O24</f>
        <v>88942.367503166199</v>
      </c>
      <c r="J27" s="224"/>
      <c r="K27" s="225"/>
      <c r="L27" s="225"/>
      <c r="M27" s="504"/>
      <c r="N27" s="226"/>
      <c r="O27" s="7"/>
    </row>
    <row r="28" spans="1:15" x14ac:dyDescent="0.25">
      <c r="A28" s="13"/>
      <c r="B28" s="6"/>
      <c r="C28" s="280" t="s">
        <v>7</v>
      </c>
      <c r="D28" s="12" t="s">
        <v>66</v>
      </c>
      <c r="E28" s="696"/>
      <c r="F28" s="340">
        <f>'21-01 base annual limits'!O28</f>
        <v>14468.178446635849</v>
      </c>
      <c r="G28" s="338">
        <f>'Nominal retained catches'!M25</f>
        <v>6763.3937940002697</v>
      </c>
      <c r="H28" s="338">
        <f>'Nominal retained catches'!N25</f>
        <v>8279.0947734039</v>
      </c>
      <c r="I28" s="496">
        <f>'Nominal retained catches'!O25</f>
        <v>8647.7295053180806</v>
      </c>
      <c r="J28" s="48">
        <f>'21-01 catch, overcatch, limits'!I28</f>
        <v>14468.178446635849</v>
      </c>
      <c r="K28" s="48">
        <f>'21-01 catch, overcatch, limits'!L28</f>
        <v>14468.178446635849</v>
      </c>
      <c r="L28" s="375">
        <f>'21-01 catch, overcatch, limits'!O28</f>
        <v>14468.178446635849</v>
      </c>
      <c r="M28" s="221">
        <f>'21-01 catch, overcatch, limits'!R28</f>
        <v>14468.178446635849</v>
      </c>
      <c r="N28" s="344">
        <f>'21-01 catch, overcatch, limits'!U28</f>
        <v>14468.178446635849</v>
      </c>
      <c r="O28" s="7"/>
    </row>
    <row r="29" spans="1:15" x14ac:dyDescent="0.25">
      <c r="A29" s="13"/>
      <c r="B29" s="6"/>
      <c r="C29" s="280" t="s">
        <v>25</v>
      </c>
      <c r="D29" s="12" t="s">
        <v>64</v>
      </c>
      <c r="E29" s="696"/>
      <c r="F29" s="340">
        <f>'21-01 base annual limits'!O29</f>
        <v>700</v>
      </c>
      <c r="G29" s="338">
        <f>'Nominal retained catches'!M26</f>
        <v>0</v>
      </c>
      <c r="H29" s="338">
        <f>'Nominal retained catches'!N26</f>
        <v>0</v>
      </c>
      <c r="I29" s="496">
        <f>'Nominal retained catches'!O26</f>
        <v>0</v>
      </c>
      <c r="J29" s="48">
        <f>'21-01 catch, overcatch, limits'!I29</f>
        <v>700</v>
      </c>
      <c r="K29" s="48">
        <f>'21-01 catch, overcatch, limits'!L29</f>
        <v>700</v>
      </c>
      <c r="L29" s="221">
        <f>'21-01 catch, overcatch, limits'!O29</f>
        <v>700</v>
      </c>
      <c r="M29" s="221">
        <f>'21-01 catch, overcatch, limits'!R29</f>
        <v>700</v>
      </c>
      <c r="N29" s="344">
        <f>'21-01 catch, overcatch, limits'!U29</f>
        <v>700</v>
      </c>
      <c r="O29" s="7"/>
    </row>
    <row r="30" spans="1:15" ht="14.25" customHeight="1" x14ac:dyDescent="0.25">
      <c r="A30" s="13"/>
      <c r="B30" s="6"/>
      <c r="C30" s="280" t="s">
        <v>26</v>
      </c>
      <c r="D30" s="12" t="s">
        <v>67</v>
      </c>
      <c r="E30" s="696"/>
      <c r="F30" s="340">
        <f>'21-01 base annual limits'!O30</f>
        <v>2000</v>
      </c>
      <c r="G30" s="338">
        <f>'Nominal retained catches'!M27</f>
        <v>0</v>
      </c>
      <c r="H30" s="338">
        <f>'Nominal retained catches'!N27</f>
        <v>0</v>
      </c>
      <c r="I30" s="496">
        <f>'Nominal retained catches'!O27</f>
        <v>0</v>
      </c>
      <c r="J30" s="48">
        <f>'21-01 catch, overcatch, limits'!I30</f>
        <v>2000</v>
      </c>
      <c r="K30" s="48">
        <f>'21-01 catch, overcatch, limits'!L30</f>
        <v>2000</v>
      </c>
      <c r="L30" s="375">
        <f>'21-01 catch, overcatch, limits'!O30</f>
        <v>2000</v>
      </c>
      <c r="M30" s="221">
        <f>'21-01 catch, overcatch, limits'!R30</f>
        <v>2000</v>
      </c>
      <c r="N30" s="344">
        <f>'21-01 catch, overcatch, limits'!U30</f>
        <v>2000</v>
      </c>
      <c r="O30" s="7"/>
    </row>
    <row r="31" spans="1:15" hidden="1" x14ac:dyDescent="0.25">
      <c r="A31" s="13"/>
      <c r="B31" s="6"/>
      <c r="C31" s="281" t="s">
        <v>27</v>
      </c>
      <c r="D31" s="38"/>
      <c r="E31" s="696"/>
      <c r="F31" s="342"/>
      <c r="G31" s="338">
        <f>'Nominal retained catches'!M28</f>
        <v>0</v>
      </c>
      <c r="H31" s="338">
        <f>'Nominal retained catches'!N28</f>
        <v>0</v>
      </c>
      <c r="I31" s="496">
        <f>'Nominal retained catches'!O28</f>
        <v>10965</v>
      </c>
      <c r="J31" s="224"/>
      <c r="K31" s="225"/>
      <c r="L31" s="505"/>
      <c r="M31" s="225"/>
      <c r="N31" s="505"/>
      <c r="O31" s="287"/>
    </row>
    <row r="32" spans="1:15" x14ac:dyDescent="0.25">
      <c r="A32" s="13"/>
      <c r="B32" s="6"/>
      <c r="C32" s="280" t="s">
        <v>10</v>
      </c>
      <c r="D32" s="12" t="s">
        <v>68</v>
      </c>
      <c r="E32" s="696"/>
      <c r="F32" s="340">
        <f>'21-01 base annual limits'!O32</f>
        <v>39576.914230164366</v>
      </c>
      <c r="G32" s="338">
        <f>'Nominal retained catches'!M29</f>
        <v>35958.691000526203</v>
      </c>
      <c r="H32" s="338">
        <f>'Nominal retained catches'!N29</f>
        <v>34066.271082259002</v>
      </c>
      <c r="I32" s="496">
        <f>'Nominal retained catches'!O29</f>
        <v>37194.319411516197</v>
      </c>
      <c r="J32" s="48">
        <f>'21-01 catch, overcatch, limits'!I32</f>
        <v>39576.914230164366</v>
      </c>
      <c r="K32" s="48">
        <f>'21-01 catch, overcatch, limits'!L32</f>
        <v>39576.914230164366</v>
      </c>
      <c r="L32" s="375">
        <f>'21-01 catch, overcatch, limits'!O32</f>
        <v>39576.914230164366</v>
      </c>
      <c r="M32" s="221">
        <f>'21-01 catch, overcatch, limits'!R32</f>
        <v>39576.914230164366</v>
      </c>
      <c r="N32" s="344">
        <f>'21-01 catch, overcatch, limits'!U32</f>
        <v>39576.914230164366</v>
      </c>
      <c r="O32" s="7"/>
    </row>
    <row r="33" spans="1:15" x14ac:dyDescent="0.25">
      <c r="A33" s="13"/>
      <c r="B33" s="6"/>
      <c r="C33" s="280" t="s">
        <v>28</v>
      </c>
      <c r="D33" s="12" t="s">
        <v>66</v>
      </c>
      <c r="E33" s="696"/>
      <c r="F33" s="340">
        <f>'21-01 base annual limits'!O33</f>
        <v>2000</v>
      </c>
      <c r="G33" s="338">
        <f>'Nominal retained catches'!M30</f>
        <v>6</v>
      </c>
      <c r="H33" s="338">
        <f>'Nominal retained catches'!N30</f>
        <v>37</v>
      </c>
      <c r="I33" s="496">
        <f>'Nominal retained catches'!O30</f>
        <v>15</v>
      </c>
      <c r="J33" s="48">
        <f>'21-01 catch, overcatch, limits'!I33</f>
        <v>2000</v>
      </c>
      <c r="K33" s="48">
        <f>'21-01 catch, overcatch, limits'!L33</f>
        <v>2000</v>
      </c>
      <c r="L33" s="375">
        <f>'21-01 catch, overcatch, limits'!O33</f>
        <v>2000</v>
      </c>
      <c r="M33" s="221">
        <f>'21-01 catch, overcatch, limits'!R33</f>
        <v>2000</v>
      </c>
      <c r="N33" s="344">
        <f>'21-01 catch, overcatch, limits'!U33</f>
        <v>2000</v>
      </c>
      <c r="O33" s="7"/>
    </row>
    <row r="34" spans="1:15" x14ac:dyDescent="0.25">
      <c r="A34" s="13"/>
      <c r="B34" s="6"/>
      <c r="C34" s="280" t="s">
        <v>267</v>
      </c>
      <c r="D34" s="12" t="s">
        <v>64</v>
      </c>
      <c r="E34" s="696"/>
      <c r="F34" s="340">
        <f>'21-01 base annual limits'!O34</f>
        <v>10688.195397720325</v>
      </c>
      <c r="G34" s="338">
        <f>'Nominal retained catches'!M31</f>
        <v>10170.3004722595</v>
      </c>
      <c r="H34" s="338">
        <f>'Nominal retained catches'!N31</f>
        <v>9075.0099487304706</v>
      </c>
      <c r="I34" s="496">
        <f>'Nominal retained catches'!O31</f>
        <v>9446.5700721740704</v>
      </c>
      <c r="J34" s="48">
        <f>'21-01 catch, overcatch, limits'!I34</f>
        <v>10688.195397720325</v>
      </c>
      <c r="K34" s="48">
        <f>'21-01 catch, overcatch, limits'!L34</f>
        <v>10688.195397720325</v>
      </c>
      <c r="L34" s="375">
        <f>'21-01 catch, overcatch, limits'!O34</f>
        <v>10688.195397720325</v>
      </c>
      <c r="M34" s="221">
        <f>'21-01 catch, overcatch, limits'!R34</f>
        <v>10688.195397720325</v>
      </c>
      <c r="N34" s="344">
        <f>'21-01 catch, overcatch, limits'!U34</f>
        <v>10688.195397720325</v>
      </c>
      <c r="O34" s="7"/>
    </row>
    <row r="35" spans="1:15" x14ac:dyDescent="0.25">
      <c r="A35" s="13"/>
      <c r="B35" s="6"/>
      <c r="C35" s="280" t="s">
        <v>16</v>
      </c>
      <c r="D35" s="12" t="s">
        <v>67</v>
      </c>
      <c r="E35" s="696"/>
      <c r="F35" s="340">
        <f>'21-01 base annual limits'!O35</f>
        <v>3904.6287920475002</v>
      </c>
      <c r="G35" s="338">
        <f>'Nominal retained catches'!M32</f>
        <v>3467.7939949035599</v>
      </c>
      <c r="H35" s="338">
        <f>'Nominal retained catches'!N32</f>
        <v>3314.05006027222</v>
      </c>
      <c r="I35" s="496">
        <f>'Nominal retained catches'!O32</f>
        <v>3969.48000335693</v>
      </c>
      <c r="J35" s="48">
        <f>'21-01 catch, overcatch, limits'!I35</f>
        <v>3904.6287920475002</v>
      </c>
      <c r="K35" s="48">
        <f>'21-01 catch, overcatch, limits'!L35</f>
        <v>3904.6287920475002</v>
      </c>
      <c r="L35" s="375">
        <f>'21-01 catch, overcatch, limits'!O35</f>
        <v>3904.6287920475002</v>
      </c>
      <c r="M35" s="221">
        <f>'21-01 catch, overcatch, limits'!R35</f>
        <v>3872.203186392785</v>
      </c>
      <c r="N35" s="344">
        <f>'21-01 catch, overcatch, limits'!U35</f>
        <v>3872.203186392785</v>
      </c>
      <c r="O35" s="7"/>
    </row>
    <row r="36" spans="1:15" x14ac:dyDescent="0.25">
      <c r="A36" s="13"/>
      <c r="B36" s="6"/>
      <c r="C36" s="280" t="s">
        <v>8</v>
      </c>
      <c r="D36" s="12" t="s">
        <v>67</v>
      </c>
      <c r="E36" s="696"/>
      <c r="F36" s="340">
        <f>'21-01 base annual limits'!O36</f>
        <v>26262.3603515625</v>
      </c>
      <c r="G36" s="338">
        <f>'Nominal retained catches'!M33</f>
        <v>22731.910676097701</v>
      </c>
      <c r="H36" s="338">
        <f>'Nominal retained catches'!N33</f>
        <v>37839.056488150003</v>
      </c>
      <c r="I36" s="496">
        <f>'Nominal retained catches'!O33</f>
        <v>39470.508900357898</v>
      </c>
      <c r="J36" s="48">
        <f>'21-01 catch, overcatch, limits'!I36</f>
        <v>26262.3603515625</v>
      </c>
      <c r="K36" s="48">
        <f>'21-01 catch, overcatch, limits'!L36</f>
        <v>26262.3603515625</v>
      </c>
      <c r="L36" s="375">
        <f>'21-01 catch, overcatch, limits'!O36</f>
        <v>20474.012283268748</v>
      </c>
      <c r="M36" s="221">
        <f>'21-01 catch, overcatch, limits'!R36</f>
        <v>10975.763974724174</v>
      </c>
      <c r="N36" s="344">
        <f>'21-01 catch, overcatch, limits'!U36</f>
        <v>16764.112043017925</v>
      </c>
      <c r="O36" s="7"/>
    </row>
    <row r="37" spans="1:15" ht="15.75" thickBot="1" x14ac:dyDescent="0.3">
      <c r="A37" s="13"/>
      <c r="B37" s="6"/>
      <c r="C37" s="282" t="s">
        <v>29</v>
      </c>
      <c r="D37" s="19" t="s">
        <v>66</v>
      </c>
      <c r="E37" s="697"/>
      <c r="F37" s="343">
        <f>'21-01 base annual limits'!O37</f>
        <v>2000</v>
      </c>
      <c r="G37" s="455">
        <f>'Nominal retained catches'!M34</f>
        <v>329.07534790039102</v>
      </c>
      <c r="H37" s="394">
        <f>'Nominal retained catches'!N34</f>
        <v>520.65002441406205</v>
      </c>
      <c r="I37" s="497">
        <f>'Nominal retained catches'!O34</f>
        <v>442.29998779296898</v>
      </c>
      <c r="J37" s="164">
        <f>'21-01 catch, overcatch, limits'!I37</f>
        <v>2000</v>
      </c>
      <c r="K37" s="164">
        <f>'21-01 catch, overcatch, limits'!L37</f>
        <v>2000</v>
      </c>
      <c r="L37" s="376">
        <f>'21-01 catch, overcatch, limits'!O37</f>
        <v>2000</v>
      </c>
      <c r="M37" s="511">
        <f>'21-01 catch, overcatch, limits'!R37</f>
        <v>2000</v>
      </c>
      <c r="N37" s="508">
        <f>'21-01 catch, overcatch, limits'!U37</f>
        <v>2000</v>
      </c>
      <c r="O37" s="7"/>
    </row>
    <row r="38" spans="1:15" ht="15.75" thickBot="1" x14ac:dyDescent="0.3">
      <c r="A38" s="13"/>
      <c r="B38" s="8"/>
      <c r="C38" s="9"/>
      <c r="D38" s="9"/>
      <c r="E38" s="9"/>
      <c r="F38" s="9"/>
      <c r="G38" s="9"/>
      <c r="H38" s="9"/>
      <c r="I38" s="284"/>
      <c r="J38" s="9"/>
      <c r="K38" s="9"/>
      <c r="L38" s="9"/>
      <c r="M38" s="284"/>
      <c r="N38" s="9"/>
      <c r="O38" s="10"/>
    </row>
    <row r="40" spans="1:15" x14ac:dyDescent="0.25">
      <c r="C40" s="514" t="s">
        <v>233</v>
      </c>
      <c r="D40" s="514"/>
      <c r="E40" s="514"/>
      <c r="F40" s="514"/>
      <c r="G40" s="514"/>
      <c r="H40" s="514"/>
    </row>
    <row r="42" spans="1:15" x14ac:dyDescent="0.25">
      <c r="C42" s="516"/>
      <c r="D42" t="s">
        <v>266</v>
      </c>
    </row>
  </sheetData>
  <mergeCells count="17">
    <mergeCell ref="B2:O2"/>
    <mergeCell ref="C5:E5"/>
    <mergeCell ref="F5:F7"/>
    <mergeCell ref="C6:C7"/>
    <mergeCell ref="D6:D7"/>
    <mergeCell ref="E6:E7"/>
    <mergeCell ref="G5:I5"/>
    <mergeCell ref="J5:N5"/>
    <mergeCell ref="E8:E37"/>
    <mergeCell ref="N6:N7"/>
    <mergeCell ref="J6:J7"/>
    <mergeCell ref="K6:K7"/>
    <mergeCell ref="L6:L7"/>
    <mergeCell ref="M6:M7"/>
    <mergeCell ref="G6:G7"/>
    <mergeCell ref="H6:H7"/>
    <mergeCell ref="I6:I7"/>
  </mergeCells>
  <conditionalFormatting sqref="J16:K17 J18:N21 J22:K22 J23:N26 J27:K27 J28:N30 J31:K31 J32:N37">
    <cfRule type="expression" dxfId="4" priority="7">
      <formula>J16&lt;0</formula>
    </cfRule>
    <cfRule type="expression" dxfId="3" priority="8">
      <formula>IF(J16&lt;&gt;"none",J16&lt;$F16,0)</formula>
    </cfRule>
  </conditionalFormatting>
  <conditionalFormatting sqref="J8:N15">
    <cfRule type="expression" dxfId="2" priority="1">
      <formula>J8&lt;0</formula>
    </cfRule>
    <cfRule type="expression" dxfId="1" priority="2">
      <formula>IF(J8&lt;&gt;"none",J8&lt;$F8,0)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06E8A-4F6E-4E4E-83A6-3F41CA458869}">
  <dimension ref="A1:F33"/>
  <sheetViews>
    <sheetView workbookViewId="0">
      <selection activeCell="D3" sqref="D3"/>
    </sheetView>
  </sheetViews>
  <sheetFormatPr defaultRowHeight="15" x14ac:dyDescent="0.25"/>
  <cols>
    <col min="1" max="1" width="11.5703125" customWidth="1"/>
    <col min="2" max="2" width="15.42578125" bestFit="1" customWidth="1"/>
    <col min="3" max="3" width="20.7109375" customWidth="1"/>
    <col min="4" max="4" width="16.7109375" customWidth="1"/>
    <col min="5" max="5" width="12.5703125" customWidth="1"/>
    <col min="6" max="6" width="10.85546875" customWidth="1"/>
  </cols>
  <sheetData>
    <row r="1" spans="1:6" x14ac:dyDescent="0.25">
      <c r="A1" s="736" t="s">
        <v>61</v>
      </c>
      <c r="B1" s="736" t="s">
        <v>274</v>
      </c>
      <c r="C1" s="589" t="s">
        <v>273</v>
      </c>
      <c r="D1" s="740" t="s">
        <v>277</v>
      </c>
      <c r="E1" s="738" t="s">
        <v>229</v>
      </c>
      <c r="F1" s="738"/>
    </row>
    <row r="2" spans="1:6" x14ac:dyDescent="0.25">
      <c r="A2" s="737"/>
      <c r="B2" s="737"/>
      <c r="C2" s="739"/>
      <c r="D2" s="741"/>
      <c r="E2" s="360">
        <v>2025</v>
      </c>
      <c r="F2" s="360">
        <v>2026</v>
      </c>
    </row>
    <row r="3" spans="1:6" x14ac:dyDescent="0.25">
      <c r="A3" s="170" t="str">
        <f>'21-01 base annual limits'!C8</f>
        <v>AUS</v>
      </c>
      <c r="B3" s="351" t="s">
        <v>176</v>
      </c>
      <c r="C3" s="358" t="str">
        <f>CONCATENATE(A3, " - ", B3)</f>
        <v>AUS - Australia</v>
      </c>
      <c r="D3" s="354">
        <f>'21-01 base annual limits'!O8</f>
        <v>2000</v>
      </c>
      <c r="E3" s="356">
        <f>'21-01 catch, overcatch, limits'!R8</f>
        <v>2000</v>
      </c>
      <c r="F3" s="356">
        <f>'21-01 catch, overcatch, limits'!U8</f>
        <v>2000</v>
      </c>
    </row>
    <row r="4" spans="1:6" x14ac:dyDescent="0.25">
      <c r="A4" s="170" t="str">
        <f>'21-01 base annual limits'!C9</f>
        <v>BGD</v>
      </c>
      <c r="B4" s="351" t="s">
        <v>177</v>
      </c>
      <c r="C4" s="358" t="str">
        <f t="shared" ref="C4:C32" si="0">CONCATENATE(A4, " - ", B4)</f>
        <v>BGD - Bangladesh</v>
      </c>
      <c r="D4" s="354">
        <f>'21-01 base annual limits'!O9</f>
        <v>2000</v>
      </c>
      <c r="E4" s="356">
        <f>'21-01 catch, overcatch, limits'!R9</f>
        <v>2000</v>
      </c>
      <c r="F4" s="356">
        <f>'21-01 catch, overcatch, limits'!U9</f>
        <v>2000</v>
      </c>
    </row>
    <row r="5" spans="1:6" x14ac:dyDescent="0.25">
      <c r="A5" s="170" t="str">
        <f>'21-01 base annual limits'!C10</f>
        <v>CHN</v>
      </c>
      <c r="B5" s="351" t="s">
        <v>178</v>
      </c>
      <c r="C5" s="358" t="str">
        <f t="shared" si="0"/>
        <v>CHN - China</v>
      </c>
      <c r="D5" s="354">
        <f>'21-01 base annual limits'!O10</f>
        <v>4641.2020263671902</v>
      </c>
      <c r="E5" s="356">
        <f>'21-01 catch, overcatch, limits'!R10</f>
        <v>4641.2020263671902</v>
      </c>
      <c r="F5" s="356">
        <f>'21-01 catch, overcatch, limits'!U10</f>
        <v>4641.2020263671902</v>
      </c>
    </row>
    <row r="6" spans="1:6" x14ac:dyDescent="0.25">
      <c r="A6" s="170" t="str">
        <f>'21-01 base annual limits'!C11</f>
        <v>COM</v>
      </c>
      <c r="B6" s="351" t="s">
        <v>179</v>
      </c>
      <c r="C6" s="358" t="str">
        <f t="shared" si="0"/>
        <v>COM - Comoros</v>
      </c>
      <c r="D6" s="354">
        <f>'21-01 base annual limits'!O11</f>
        <v>5279.2092437744104</v>
      </c>
      <c r="E6" s="356">
        <f>'21-01 catch, overcatch, limits'!R11</f>
        <v>5279.2092437744104</v>
      </c>
      <c r="F6" s="356">
        <f>'21-01 catch, overcatch, limits'!U11</f>
        <v>5279.2092437744104</v>
      </c>
    </row>
    <row r="7" spans="1:6" x14ac:dyDescent="0.25">
      <c r="A7" s="170" t="str">
        <f>'21-01 base annual limits'!C12</f>
        <v>EUR</v>
      </c>
      <c r="B7" s="351" t="s">
        <v>180</v>
      </c>
      <c r="C7" s="358" t="str">
        <f t="shared" si="0"/>
        <v>EUR - European Union</v>
      </c>
      <c r="D7" s="354">
        <f>'21-01 base annual limits'!O12</f>
        <v>73078.282360134108</v>
      </c>
      <c r="E7" s="356">
        <f>'21-01 catch, overcatch, limits'!R12</f>
        <v>73078.282360134108</v>
      </c>
      <c r="F7" s="356">
        <f>'21-01 catch, overcatch, limits'!U12</f>
        <v>73078.282360134108</v>
      </c>
    </row>
    <row r="8" spans="1:6" x14ac:dyDescent="0.25">
      <c r="A8" s="170" t="str">
        <f>'21-01 base annual limits'!C13</f>
        <v>FRAT</v>
      </c>
      <c r="B8" s="351" t="s">
        <v>182</v>
      </c>
      <c r="C8" s="358" t="str">
        <f t="shared" si="0"/>
        <v>FRAT - France OT</v>
      </c>
      <c r="D8" s="354">
        <f>'21-01 base annual limits'!O13</f>
        <v>500</v>
      </c>
      <c r="E8" s="356">
        <f>'21-01 catch, overcatch, limits'!R13</f>
        <v>500</v>
      </c>
      <c r="F8" s="356">
        <f>'21-01 catch, overcatch, limits'!U13</f>
        <v>500</v>
      </c>
    </row>
    <row r="9" spans="1:6" x14ac:dyDescent="0.25">
      <c r="A9" s="170" t="str">
        <f>'21-01 base annual limits'!C14</f>
        <v>GBR</v>
      </c>
      <c r="B9" s="351" t="s">
        <v>181</v>
      </c>
      <c r="C9" s="358" t="str">
        <f t="shared" si="0"/>
        <v>GBR - United Kingdom</v>
      </c>
      <c r="D9" s="354">
        <f>'21-01 base annual limits'!O14</f>
        <v>500</v>
      </c>
      <c r="E9" s="356">
        <f>'21-01 catch, overcatch, limits'!R14</f>
        <v>500</v>
      </c>
      <c r="F9" s="356">
        <f>'21-01 catch, overcatch, limits'!U14</f>
        <v>500</v>
      </c>
    </row>
    <row r="10" spans="1:6" x14ac:dyDescent="0.25">
      <c r="A10" s="170" t="str">
        <f>'21-01 base annual limits'!C15</f>
        <v>IDN</v>
      </c>
      <c r="B10" s="170" t="s">
        <v>183</v>
      </c>
      <c r="C10" s="358" t="str">
        <f t="shared" si="0"/>
        <v>IDN - Indonesia</v>
      </c>
      <c r="D10" s="354">
        <f>'21-01 base annual limits'!O15</f>
        <v>45426.377801513634</v>
      </c>
      <c r="E10" s="356">
        <f>'21-01 catch, overcatch, limits'!R15</f>
        <v>45426.377801513634</v>
      </c>
      <c r="F10" s="356">
        <f>'21-01 catch, overcatch, limits'!U15</f>
        <v>45426.377801513634</v>
      </c>
    </row>
    <row r="11" spans="1:6" hidden="1" x14ac:dyDescent="0.25">
      <c r="A11" s="170" t="str">
        <f>'21-01 base annual limits'!C16</f>
        <v>IND</v>
      </c>
      <c r="B11" s="352" t="s">
        <v>184</v>
      </c>
      <c r="C11" s="358" t="str">
        <f t="shared" si="0"/>
        <v>IND - India</v>
      </c>
      <c r="D11" s="354">
        <f>'21-01 base annual limits'!O16</f>
        <v>0</v>
      </c>
      <c r="E11" s="356">
        <f>'21-01 catch, overcatch, limits'!R16</f>
        <v>0</v>
      </c>
      <c r="F11" s="356">
        <f>'21-01 catch, overcatch, limits'!U16</f>
        <v>0</v>
      </c>
    </row>
    <row r="12" spans="1:6" hidden="1" x14ac:dyDescent="0.25">
      <c r="A12" s="170" t="str">
        <f>'21-01 base annual limits'!C17</f>
        <v>IRN</v>
      </c>
      <c r="B12" s="2" t="s">
        <v>185</v>
      </c>
      <c r="C12" s="358" t="str">
        <f t="shared" si="0"/>
        <v>IRN - I.R. Iran</v>
      </c>
      <c r="D12" s="354">
        <f>'21-01 base annual limits'!O17</f>
        <v>0</v>
      </c>
      <c r="E12" s="356">
        <f>'21-01 catch, overcatch, limits'!R17</f>
        <v>0</v>
      </c>
      <c r="F12" s="356">
        <f>'21-01 catch, overcatch, limits'!U17</f>
        <v>0</v>
      </c>
    </row>
    <row r="13" spans="1:6" x14ac:dyDescent="0.25">
      <c r="A13" s="170" t="str">
        <f>'21-01 base annual limits'!C18</f>
        <v>JPN</v>
      </c>
      <c r="B13" s="170" t="s">
        <v>186</v>
      </c>
      <c r="C13" s="358" t="str">
        <f t="shared" si="0"/>
        <v>JPN - Japan</v>
      </c>
      <c r="D13" s="354">
        <f>'21-01 base annual limits'!O18</f>
        <v>4002.7001037597702</v>
      </c>
      <c r="E13" s="356">
        <f>'21-01 catch, overcatch, limits'!R18</f>
        <v>4002.7001037597702</v>
      </c>
      <c r="F13" s="356">
        <f>'21-01 catch, overcatch, limits'!U18</f>
        <v>4002.7001037597702</v>
      </c>
    </row>
    <row r="14" spans="1:6" x14ac:dyDescent="0.25">
      <c r="A14" s="170" t="str">
        <f>'21-01 base annual limits'!C19</f>
        <v>KEN</v>
      </c>
      <c r="B14" s="170" t="s">
        <v>187</v>
      </c>
      <c r="C14" s="358" t="str">
        <f t="shared" si="0"/>
        <v>KEN - Kenya</v>
      </c>
      <c r="D14" s="354">
        <f>'21-01 base annual limits'!O19</f>
        <v>3654.2361297607399</v>
      </c>
      <c r="E14" s="356">
        <f>'21-01 catch, overcatch, limits'!R19</f>
        <v>3654.2361297607399</v>
      </c>
      <c r="F14" s="356">
        <f>'21-01 catch, overcatch, limits'!U19</f>
        <v>3654.2361297607399</v>
      </c>
    </row>
    <row r="15" spans="1:6" x14ac:dyDescent="0.25">
      <c r="A15" s="170" t="str">
        <f>'21-01 base annual limits'!C20</f>
        <v>KOR</v>
      </c>
      <c r="B15" s="170" t="s">
        <v>188</v>
      </c>
      <c r="C15" s="358" t="str">
        <f t="shared" si="0"/>
        <v>KOR - Korea</v>
      </c>
      <c r="D15" s="354">
        <f>'21-01 base annual limits'!O20</f>
        <v>9055.875470589237</v>
      </c>
      <c r="E15" s="356">
        <f>'21-01 catch, overcatch, limits'!R20</f>
        <v>9055.875470589237</v>
      </c>
      <c r="F15" s="356">
        <f>'21-01 catch, overcatch, limits'!U20</f>
        <v>9055.875470589237</v>
      </c>
    </row>
    <row r="16" spans="1:6" x14ac:dyDescent="0.25">
      <c r="A16" s="170" t="str">
        <f>'21-01 base annual limits'!C21</f>
        <v>LKA</v>
      </c>
      <c r="B16" s="170" t="s">
        <v>189</v>
      </c>
      <c r="C16" s="358" t="str">
        <f t="shared" si="0"/>
        <v>LKA - Sri Lanka</v>
      </c>
      <c r="D16" s="354">
        <f>'21-01 base annual limits'!O21</f>
        <v>33244.812692372951</v>
      </c>
      <c r="E16" s="356">
        <f>'21-01 catch, overcatch, limits'!R21</f>
        <v>33215.519096447475</v>
      </c>
      <c r="F16" s="356">
        <f>'21-01 catch, overcatch, limits'!U21</f>
        <v>33215.519096447475</v>
      </c>
    </row>
    <row r="17" spans="1:6" hidden="1" x14ac:dyDescent="0.25">
      <c r="A17" s="170" t="str">
        <f>'21-01 base annual limits'!C22</f>
        <v>MDG</v>
      </c>
      <c r="B17" s="2" t="s">
        <v>190</v>
      </c>
      <c r="C17" s="358" t="str">
        <f t="shared" si="0"/>
        <v>MDG - Madagascar</v>
      </c>
      <c r="D17" s="354">
        <f>'21-01 base annual limits'!O22</f>
        <v>0</v>
      </c>
      <c r="E17" s="356">
        <f>'21-01 catch, overcatch, limits'!R22</f>
        <v>0</v>
      </c>
      <c r="F17" s="356">
        <f>'21-01 catch, overcatch, limits'!U22</f>
        <v>0</v>
      </c>
    </row>
    <row r="18" spans="1:6" x14ac:dyDescent="0.25">
      <c r="A18" s="170" t="str">
        <f>'21-01 base annual limits'!C23</f>
        <v>MDV</v>
      </c>
      <c r="B18" s="170" t="s">
        <v>191</v>
      </c>
      <c r="C18" s="358" t="str">
        <f t="shared" si="0"/>
        <v>MDV - Maldives</v>
      </c>
      <c r="D18" s="354">
        <f>'21-01 base annual limits'!O23</f>
        <v>47194.801020812971</v>
      </c>
      <c r="E18" s="356">
        <f>'21-01 catch, overcatch, limits'!R23</f>
        <v>47194.801020812971</v>
      </c>
      <c r="F18" s="356">
        <f>'21-01 catch, overcatch, limits'!U23</f>
        <v>47194.801020812971</v>
      </c>
    </row>
    <row r="19" spans="1:6" x14ac:dyDescent="0.25">
      <c r="A19" s="170" t="str">
        <f>'21-01 base annual limits'!C24</f>
        <v>MOZ</v>
      </c>
      <c r="B19" s="170" t="s">
        <v>192</v>
      </c>
      <c r="C19" s="358" t="str">
        <f t="shared" si="0"/>
        <v>MOZ - Mozambique</v>
      </c>
      <c r="D19" s="354">
        <f>'21-01 base annual limits'!O24</f>
        <v>2000</v>
      </c>
      <c r="E19" s="356">
        <f>'21-01 catch, overcatch, limits'!R24</f>
        <v>2000</v>
      </c>
      <c r="F19" s="356">
        <f>'21-01 catch, overcatch, limits'!U24</f>
        <v>2000</v>
      </c>
    </row>
    <row r="20" spans="1:6" x14ac:dyDescent="0.25">
      <c r="A20" s="170" t="str">
        <f>'21-01 base annual limits'!C25</f>
        <v>MUS</v>
      </c>
      <c r="B20" s="170" t="s">
        <v>193</v>
      </c>
      <c r="C20" s="358" t="str">
        <f t="shared" si="0"/>
        <v>MUS - Mauritius</v>
      </c>
      <c r="D20" s="354">
        <f>'21-01 base annual limits'!O25</f>
        <v>10490.40706890744</v>
      </c>
      <c r="E20" s="356">
        <f>'21-01 catch, overcatch, limits'!R25</f>
        <v>10490.40706890744</v>
      </c>
      <c r="F20" s="356">
        <f>'21-01 catch, overcatch, limits'!U25</f>
        <v>10490.40706890744</v>
      </c>
    </row>
    <row r="21" spans="1:6" x14ac:dyDescent="0.25">
      <c r="A21" s="170" t="str">
        <f>'21-01 base annual limits'!C26</f>
        <v>MYS</v>
      </c>
      <c r="B21" s="170" t="s">
        <v>194</v>
      </c>
      <c r="C21" s="358" t="str">
        <f t="shared" si="0"/>
        <v>MYS - Malaysia</v>
      </c>
      <c r="D21" s="354">
        <f>'21-01 base annual limits'!O26</f>
        <v>2000</v>
      </c>
      <c r="E21" s="356">
        <f>'21-01 catch, overcatch, limits'!R26</f>
        <v>2000</v>
      </c>
      <c r="F21" s="356">
        <f>'21-01 catch, overcatch, limits'!U26</f>
        <v>2000</v>
      </c>
    </row>
    <row r="22" spans="1:6" hidden="1" x14ac:dyDescent="0.25">
      <c r="A22" s="170" t="str">
        <f>'21-01 base annual limits'!C27</f>
        <v>OMN</v>
      </c>
      <c r="B22" s="2" t="s">
        <v>195</v>
      </c>
      <c r="C22" s="358" t="str">
        <f t="shared" si="0"/>
        <v>OMN - Oman</v>
      </c>
      <c r="D22" s="354">
        <f>'21-01 base annual limits'!O27</f>
        <v>0</v>
      </c>
      <c r="E22" s="356">
        <f>'21-01 catch, overcatch, limits'!R27</f>
        <v>0</v>
      </c>
      <c r="F22" s="356">
        <f>'21-01 catch, overcatch, limits'!U27</f>
        <v>0</v>
      </c>
    </row>
    <row r="23" spans="1:6" x14ac:dyDescent="0.25">
      <c r="A23" s="170" t="str">
        <f>'21-01 base annual limits'!C28</f>
        <v>PAK</v>
      </c>
      <c r="B23" s="170" t="s">
        <v>196</v>
      </c>
      <c r="C23" s="358" t="str">
        <f t="shared" si="0"/>
        <v>PAK - Pakistan</v>
      </c>
      <c r="D23" s="354">
        <f>'21-01 base annual limits'!O28</f>
        <v>14468.178446635849</v>
      </c>
      <c r="E23" s="356">
        <f>'21-01 catch, overcatch, limits'!R28</f>
        <v>14468.178446635849</v>
      </c>
      <c r="F23" s="356">
        <f>'21-01 catch, overcatch, limits'!U28</f>
        <v>14468.178446635849</v>
      </c>
    </row>
    <row r="24" spans="1:6" x14ac:dyDescent="0.25">
      <c r="A24" s="170" t="str">
        <f>'21-01 base annual limits'!C29</f>
        <v>PHL</v>
      </c>
      <c r="B24" s="170" t="s">
        <v>197</v>
      </c>
      <c r="C24" s="358" t="str">
        <f t="shared" si="0"/>
        <v>PHL - Philippines</v>
      </c>
      <c r="D24" s="354">
        <f>'21-01 base annual limits'!O29</f>
        <v>700</v>
      </c>
      <c r="E24" s="356">
        <f>'21-01 catch, overcatch, limits'!R29</f>
        <v>700</v>
      </c>
      <c r="F24" s="356">
        <f>'21-01 catch, overcatch, limits'!U29</f>
        <v>700</v>
      </c>
    </row>
    <row r="25" spans="1:6" x14ac:dyDescent="0.25">
      <c r="A25" s="170" t="str">
        <f>'21-01 base annual limits'!C30</f>
        <v>SDN</v>
      </c>
      <c r="B25" s="170" t="s">
        <v>198</v>
      </c>
      <c r="C25" s="358" t="str">
        <f t="shared" si="0"/>
        <v>SDN - Sudan</v>
      </c>
      <c r="D25" s="354">
        <f>'21-01 base annual limits'!O30</f>
        <v>2000</v>
      </c>
      <c r="E25" s="356">
        <f>'21-01 catch, overcatch, limits'!R30</f>
        <v>2000</v>
      </c>
      <c r="F25" s="356">
        <f>'21-01 catch, overcatch, limits'!U30</f>
        <v>2000</v>
      </c>
    </row>
    <row r="26" spans="1:6" hidden="1" x14ac:dyDescent="0.25">
      <c r="A26" s="170" t="str">
        <f>'21-01 base annual limits'!C31</f>
        <v>SOM</v>
      </c>
      <c r="B26" s="2" t="s">
        <v>199</v>
      </c>
      <c r="C26" s="358" t="str">
        <f t="shared" si="0"/>
        <v>SOM - Somalia</v>
      </c>
      <c r="D26" s="354">
        <f>'21-01 base annual limits'!O31</f>
        <v>0</v>
      </c>
      <c r="E26" s="356">
        <f>'21-01 catch, overcatch, limits'!R31</f>
        <v>0</v>
      </c>
      <c r="F26" s="356">
        <f>'21-01 catch, overcatch, limits'!U31</f>
        <v>0</v>
      </c>
    </row>
    <row r="27" spans="1:6" x14ac:dyDescent="0.25">
      <c r="A27" s="170" t="str">
        <f>'21-01 base annual limits'!C32</f>
        <v>SYC</v>
      </c>
      <c r="B27" s="351" t="s">
        <v>200</v>
      </c>
      <c r="C27" s="358" t="str">
        <f t="shared" si="0"/>
        <v>SYC - Seychelles</v>
      </c>
      <c r="D27" s="354">
        <f>'21-01 base annual limits'!O32</f>
        <v>39576.914230164366</v>
      </c>
      <c r="E27" s="356">
        <f>'21-01 catch, overcatch, limits'!R32</f>
        <v>39576.914230164366</v>
      </c>
      <c r="F27" s="356">
        <f>'21-01 catch, overcatch, limits'!U32</f>
        <v>39576.914230164366</v>
      </c>
    </row>
    <row r="28" spans="1:6" x14ac:dyDescent="0.25">
      <c r="A28" s="170" t="str">
        <f>'21-01 base annual limits'!C33</f>
        <v>THA</v>
      </c>
      <c r="B28" s="351" t="s">
        <v>201</v>
      </c>
      <c r="C28" s="358" t="str">
        <f t="shared" si="0"/>
        <v>THA - Thailand</v>
      </c>
      <c r="D28" s="354">
        <f>'21-01 base annual limits'!O33</f>
        <v>2000</v>
      </c>
      <c r="E28" s="356">
        <f>'21-01 catch, overcatch, limits'!R33</f>
        <v>2000</v>
      </c>
      <c r="F28" s="356">
        <f>'21-01 catch, overcatch, limits'!U33</f>
        <v>2000</v>
      </c>
    </row>
    <row r="29" spans="1:6" x14ac:dyDescent="0.25">
      <c r="A29" s="170" t="str">
        <f>'21-01 base annual limits'!C34</f>
        <v>TWN</v>
      </c>
      <c r="B29" s="351" t="s">
        <v>268</v>
      </c>
      <c r="C29" s="358" t="str">
        <f t="shared" si="0"/>
        <v>TWN - Taiwan,China</v>
      </c>
      <c r="D29" s="354">
        <f>'21-01 base annual limits'!O34</f>
        <v>10688.195397720325</v>
      </c>
      <c r="E29" s="356">
        <f>'21-01 catch, overcatch, limits'!R34</f>
        <v>10688.195397720325</v>
      </c>
      <c r="F29" s="356">
        <f>'21-01 catch, overcatch, limits'!U34</f>
        <v>10688.195397720325</v>
      </c>
    </row>
    <row r="30" spans="1:6" x14ac:dyDescent="0.25">
      <c r="A30" s="170" t="str">
        <f>'21-01 base annual limits'!C35</f>
        <v>TZA</v>
      </c>
      <c r="B30" s="351" t="s">
        <v>202</v>
      </c>
      <c r="C30" s="358" t="str">
        <f t="shared" si="0"/>
        <v>TZA - Tanzania</v>
      </c>
      <c r="D30" s="354">
        <f>'21-01 base annual limits'!O35</f>
        <v>3904.6287920475002</v>
      </c>
      <c r="E30" s="356">
        <f>'21-01 catch, overcatch, limits'!R35</f>
        <v>3872.203186392785</v>
      </c>
      <c r="F30" s="356">
        <f>'21-01 catch, overcatch, limits'!U35</f>
        <v>3872.203186392785</v>
      </c>
    </row>
    <row r="31" spans="1:6" x14ac:dyDescent="0.25">
      <c r="A31" s="170" t="str">
        <f>'21-01 base annual limits'!C36</f>
        <v>YEM</v>
      </c>
      <c r="B31" s="351" t="s">
        <v>203</v>
      </c>
      <c r="C31" s="358" t="str">
        <f t="shared" si="0"/>
        <v>YEM - Yemen</v>
      </c>
      <c r="D31" s="354">
        <f>'21-01 base annual limits'!O36</f>
        <v>26262.3603515625</v>
      </c>
      <c r="E31" s="356">
        <f>'21-01 catch, overcatch, limits'!R36</f>
        <v>10975.763974724174</v>
      </c>
      <c r="F31" s="356">
        <f>'21-01 catch, overcatch, limits'!U36</f>
        <v>16764.112043017925</v>
      </c>
    </row>
    <row r="32" spans="1:6" x14ac:dyDescent="0.25">
      <c r="A32" s="170" t="str">
        <f>'21-01 base annual limits'!C37</f>
        <v>ZAF</v>
      </c>
      <c r="B32" s="351" t="s">
        <v>204</v>
      </c>
      <c r="C32" s="358" t="str">
        <f t="shared" si="0"/>
        <v>ZAF - South Africa</v>
      </c>
      <c r="D32" s="354">
        <f>'21-01 base annual limits'!O37</f>
        <v>2000</v>
      </c>
      <c r="E32" s="356">
        <f>'21-01 catch, overcatch, limits'!R37</f>
        <v>2000</v>
      </c>
      <c r="F32" s="356">
        <f>'21-01 catch, overcatch, limits'!U37</f>
        <v>2000</v>
      </c>
    </row>
    <row r="33" spans="1:6" x14ac:dyDescent="0.25">
      <c r="A33" s="353"/>
      <c r="B33" s="353"/>
      <c r="C33" s="359" t="s">
        <v>228</v>
      </c>
      <c r="D33" s="355">
        <f>SUM(D3:D32)</f>
        <v>346668.18113612296</v>
      </c>
      <c r="E33" s="357">
        <f>SUM(E3:E32)</f>
        <v>331319.86555770441</v>
      </c>
      <c r="F33" s="357">
        <f>SUM(F3:F32)</f>
        <v>337108.21362599818</v>
      </c>
    </row>
  </sheetData>
  <mergeCells count="5">
    <mergeCell ref="A1:A2"/>
    <mergeCell ref="E1:F1"/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Nominal retained catches</vt:lpstr>
      <vt:lpstr>19-01 base annual limits</vt:lpstr>
      <vt:lpstr>19-01 catch, overcatch, limits</vt:lpstr>
      <vt:lpstr>19-01 annual limits</vt:lpstr>
      <vt:lpstr>19-01 circular table</vt:lpstr>
      <vt:lpstr>21-01 base annual limits</vt:lpstr>
      <vt:lpstr>21-01 catch, overcatch, limits</vt:lpstr>
      <vt:lpstr>21-01 annual limits</vt:lpstr>
      <vt:lpstr>21-01 circular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ffiorellato</dc:creator>
  <cp:lastModifiedBy>Chassot, Emmanuel (NFITD)</cp:lastModifiedBy>
  <cp:lastPrinted>2022-11-10T06:26:53Z</cp:lastPrinted>
  <dcterms:created xsi:type="dcterms:W3CDTF">2021-11-23T16:59:46Z</dcterms:created>
  <dcterms:modified xsi:type="dcterms:W3CDTF">2026-05-13T07:57:13Z</dcterms:modified>
</cp:coreProperties>
</file>